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225" windowWidth="15120" windowHeight="7890" tabRatio="820"/>
  </bookViews>
  <sheets>
    <sheet name="ПВХ" sheetId="1" r:id="rId1"/>
    <sheet name="Эмаль" sheetId="2" r:id="rId2"/>
    <sheet name="Радиусные фасады ПВХ" sheetId="31" r:id="rId3"/>
    <sheet name="Радиусные фасады Эмаль" sheetId="27" r:id="rId4"/>
    <sheet name="Колонны декоративные" sheetId="30" r:id="rId5"/>
    <sheet name="Карнизы декоративные" sheetId="20" r:id="rId6"/>
    <sheet name="балюстрады и решетки" sheetId="29" r:id="rId7"/>
    <sheet name="витражи" sheetId="4" r:id="rId8"/>
    <sheet name="Декоры пвх " sheetId="23" r:id="rId9"/>
    <sheet name="Профиль" sheetId="21" r:id="rId10"/>
    <sheet name="гнутоклеенные" sheetId="18" r:id="rId11"/>
    <sheet name="Фрезерованные рисунки" sheetId="26" r:id="rId12"/>
    <sheet name="дверные накладки и комби" sheetId="28" r:id="rId13"/>
    <sheet name="Типы фасадов &quot;Премиум&quot;" sheetId="14" r:id="rId14"/>
  </sheets>
  <definedNames>
    <definedName name="Рамка" localSheetId="8">#REF!</definedName>
    <definedName name="Рамка" localSheetId="4">#REF!</definedName>
    <definedName name="Рамка" localSheetId="9">#REF!</definedName>
    <definedName name="Рамка">#REF!</definedName>
  </definedNames>
  <calcPr calcId="144525"/>
</workbook>
</file>

<file path=xl/calcChain.xml><?xml version="1.0" encoding="utf-8"?>
<calcChain xmlns="http://schemas.openxmlformats.org/spreadsheetml/2006/main">
  <c r="I47" i="20" l="1"/>
  <c r="H47" i="20"/>
  <c r="H46" i="20"/>
  <c r="I46" i="20" s="1"/>
  <c r="I45" i="20"/>
  <c r="H45" i="20"/>
  <c r="H40" i="20"/>
  <c r="I40" i="20" s="1"/>
  <c r="I39" i="20"/>
  <c r="H39" i="20"/>
  <c r="H38" i="20"/>
  <c r="I38" i="20" s="1"/>
  <c r="I20" i="20"/>
  <c r="H20" i="20"/>
  <c r="I17" i="20"/>
  <c r="G43" i="20" l="1"/>
  <c r="G36" i="20"/>
  <c r="G33" i="20"/>
  <c r="G32" i="20"/>
  <c r="G31" i="20"/>
  <c r="G30" i="20"/>
  <c r="G29" i="20"/>
  <c r="F19" i="20"/>
  <c r="F43" i="20"/>
  <c r="F35" i="20"/>
  <c r="F33" i="20"/>
  <c r="F32" i="20"/>
  <c r="F31" i="20"/>
  <c r="F30" i="20"/>
  <c r="F29" i="20"/>
  <c r="F28" i="20"/>
  <c r="E28" i="20"/>
  <c r="D43" i="20"/>
  <c r="E43" i="20"/>
  <c r="E37" i="20"/>
  <c r="E36" i="20"/>
  <c r="E35" i="20"/>
  <c r="E33" i="20"/>
  <c r="E32" i="20"/>
  <c r="E31" i="20"/>
  <c r="E30" i="20"/>
  <c r="E29" i="20"/>
  <c r="E27" i="20"/>
  <c r="E25" i="20"/>
  <c r="E22" i="20"/>
  <c r="E21" i="20"/>
  <c r="D42" i="20"/>
  <c r="D41" i="20"/>
  <c r="D37" i="20"/>
  <c r="D33" i="20"/>
  <c r="D32" i="20"/>
  <c r="D30" i="20"/>
  <c r="D29" i="20"/>
  <c r="D27" i="20"/>
  <c r="D25" i="20"/>
  <c r="D22" i="20"/>
  <c r="D21" i="20"/>
  <c r="G19" i="20"/>
  <c r="G17" i="20"/>
  <c r="G16" i="20"/>
  <c r="G15" i="20"/>
  <c r="F18" i="20"/>
  <c r="F17" i="20"/>
  <c r="F16" i="20"/>
  <c r="F15" i="20"/>
  <c r="E19" i="20"/>
  <c r="E18" i="20"/>
  <c r="E17" i="20"/>
  <c r="E16" i="20"/>
  <c r="E15" i="20"/>
  <c r="D19" i="20"/>
  <c r="D17" i="20"/>
  <c r="D16" i="20"/>
  <c r="D15" i="20"/>
  <c r="I15" i="28"/>
  <c r="I14" i="28"/>
  <c r="I13" i="28"/>
  <c r="I12" i="28"/>
  <c r="H15" i="28"/>
  <c r="H14" i="28"/>
  <c r="H13" i="28"/>
  <c r="H12" i="28"/>
  <c r="G15" i="28"/>
  <c r="G14" i="28"/>
  <c r="G13" i="28"/>
  <c r="G12" i="28"/>
  <c r="F15" i="28"/>
  <c r="F14" i="28"/>
  <c r="F13" i="28"/>
  <c r="F12" i="28"/>
  <c r="E15" i="28"/>
  <c r="E14" i="28"/>
  <c r="E13" i="28"/>
  <c r="E12" i="28"/>
  <c r="D15" i="28"/>
  <c r="D14" i="28"/>
  <c r="D13" i="28"/>
  <c r="D12" i="28"/>
  <c r="C15" i="28"/>
  <c r="C14" i="28"/>
  <c r="C13" i="28"/>
  <c r="C12" i="28"/>
  <c r="G22" i="28"/>
  <c r="G21" i="28"/>
  <c r="F22" i="28"/>
  <c r="F21" i="28"/>
  <c r="E22" i="28"/>
  <c r="E21" i="28"/>
  <c r="D22" i="28"/>
  <c r="D21" i="28"/>
  <c r="I55" i="1" l="1"/>
  <c r="H55" i="1"/>
  <c r="G55" i="1"/>
  <c r="F55" i="1"/>
  <c r="E55" i="1"/>
  <c r="D55" i="1"/>
  <c r="C55" i="1"/>
  <c r="I54" i="1"/>
  <c r="H54" i="1"/>
  <c r="G54" i="1"/>
  <c r="F54" i="1"/>
  <c r="E54" i="1"/>
  <c r="D54" i="1"/>
  <c r="C54" i="1"/>
  <c r="I53" i="1"/>
  <c r="H53" i="1"/>
  <c r="G53" i="1"/>
  <c r="F53" i="1"/>
  <c r="E53" i="1"/>
  <c r="D53" i="1"/>
  <c r="C53" i="1"/>
  <c r="I52" i="1"/>
  <c r="H52" i="1"/>
  <c r="G52" i="1"/>
  <c r="F52" i="1"/>
  <c r="E52" i="1"/>
  <c r="D52" i="1"/>
  <c r="C52" i="1"/>
  <c r="I51" i="1"/>
  <c r="H51" i="1"/>
  <c r="G51" i="1"/>
  <c r="F51" i="1"/>
  <c r="E51" i="1"/>
  <c r="D51" i="1"/>
  <c r="C51" i="1"/>
  <c r="I50" i="1"/>
  <c r="H50" i="1"/>
  <c r="G50" i="1"/>
  <c r="F50" i="1"/>
  <c r="E50" i="1"/>
  <c r="D50" i="1"/>
  <c r="C50" i="1"/>
  <c r="I48" i="1"/>
  <c r="H48" i="1"/>
  <c r="G48" i="1"/>
  <c r="F48" i="1"/>
  <c r="E48" i="1"/>
  <c r="D48" i="1"/>
  <c r="C48" i="1"/>
  <c r="I47" i="1"/>
  <c r="H47" i="1"/>
  <c r="G47" i="1"/>
  <c r="F47" i="1"/>
  <c r="E47" i="1"/>
  <c r="D47" i="1"/>
  <c r="C47" i="1"/>
  <c r="I46" i="1"/>
  <c r="H46" i="1"/>
  <c r="G46" i="1"/>
  <c r="F46" i="1"/>
  <c r="E46" i="1"/>
  <c r="D46" i="1"/>
  <c r="C46" i="1"/>
  <c r="I45" i="1"/>
  <c r="H45" i="1"/>
  <c r="G45" i="1"/>
  <c r="F45" i="1"/>
  <c r="E45" i="1"/>
  <c r="D45" i="1"/>
  <c r="C45" i="1"/>
  <c r="I44" i="1"/>
  <c r="H44" i="1"/>
  <c r="G44" i="1"/>
  <c r="F44" i="1"/>
  <c r="E44" i="1"/>
  <c r="D44" i="1"/>
  <c r="C44" i="1"/>
  <c r="I43" i="1"/>
  <c r="H43" i="1"/>
  <c r="G43" i="1"/>
  <c r="F43" i="1"/>
  <c r="E43" i="1"/>
  <c r="D43" i="1"/>
  <c r="C43" i="1"/>
  <c r="H46" i="2" l="1"/>
  <c r="I46" i="2" s="1"/>
  <c r="J46" i="2" s="1"/>
  <c r="D46" i="2"/>
  <c r="C46" i="2" s="1"/>
  <c r="E46" i="2" l="1"/>
  <c r="F46" i="2" s="1"/>
  <c r="G46" i="2"/>
  <c r="E47" i="20"/>
  <c r="F47" i="20" s="1"/>
  <c r="G47" i="20" s="1"/>
  <c r="F40" i="20"/>
  <c r="G40" i="20" s="1"/>
  <c r="E46" i="20" l="1"/>
  <c r="F46" i="20" s="1"/>
  <c r="G46" i="20" s="1"/>
  <c r="G45" i="20"/>
  <c r="G38" i="20"/>
  <c r="F39" i="20"/>
  <c r="G39" i="20" s="1"/>
  <c r="F24" i="27" l="1"/>
  <c r="F23" i="27"/>
  <c r="F22" i="27"/>
  <c r="F21" i="27"/>
  <c r="F20" i="27"/>
  <c r="F19" i="27"/>
  <c r="F18" i="27"/>
  <c r="F17" i="27"/>
  <c r="F16" i="27"/>
  <c r="F15" i="27"/>
  <c r="J24" i="27"/>
  <c r="J23" i="27"/>
  <c r="J22" i="27"/>
  <c r="J21" i="27"/>
  <c r="J20" i="27"/>
  <c r="J19" i="27"/>
  <c r="J18" i="27"/>
  <c r="K18" i="27" s="1"/>
  <c r="L18" i="27" s="1"/>
  <c r="M18" i="27" s="1"/>
  <c r="J17" i="27"/>
  <c r="J16" i="27"/>
  <c r="J15" i="27"/>
  <c r="J14" i="27"/>
  <c r="J13" i="27"/>
  <c r="F14" i="27"/>
  <c r="F13" i="27"/>
  <c r="K24" i="27"/>
  <c r="L24" i="27" s="1"/>
  <c r="M24" i="27" s="1"/>
  <c r="G24" i="27"/>
  <c r="H24" i="27" s="1"/>
  <c r="I24" i="27" s="1"/>
  <c r="K23" i="27"/>
  <c r="L23" i="27" s="1"/>
  <c r="M23" i="27" s="1"/>
  <c r="H23" i="27"/>
  <c r="I23" i="27" s="1"/>
  <c r="G23" i="27"/>
  <c r="K22" i="27"/>
  <c r="L22" i="27" s="1"/>
  <c r="M22" i="27" s="1"/>
  <c r="G22" i="27"/>
  <c r="H22" i="27" s="1"/>
  <c r="I22" i="27" s="1"/>
  <c r="K21" i="27"/>
  <c r="L21" i="27" s="1"/>
  <c r="M21" i="27" s="1"/>
  <c r="H21" i="27"/>
  <c r="I21" i="27" s="1"/>
  <c r="G21" i="27"/>
  <c r="K20" i="27"/>
  <c r="L20" i="27" s="1"/>
  <c r="M20" i="27" s="1"/>
  <c r="G20" i="27"/>
  <c r="H20" i="27" s="1"/>
  <c r="I20" i="27" s="1"/>
  <c r="K19" i="27"/>
  <c r="L19" i="27" s="1"/>
  <c r="M19" i="27" s="1"/>
  <c r="H19" i="27"/>
  <c r="I19" i="27" s="1"/>
  <c r="G19" i="27"/>
  <c r="G18" i="27"/>
  <c r="H18" i="27" s="1"/>
  <c r="I18" i="27" s="1"/>
  <c r="K17" i="27"/>
  <c r="L17" i="27" s="1"/>
  <c r="M17" i="27" s="1"/>
  <c r="G17" i="27"/>
  <c r="H17" i="27" s="1"/>
  <c r="I17" i="27" s="1"/>
  <c r="K16" i="27"/>
  <c r="L16" i="27" s="1"/>
  <c r="M16" i="27" s="1"/>
  <c r="G16" i="27"/>
  <c r="H16" i="27" s="1"/>
  <c r="I16" i="27" s="1"/>
  <c r="K15" i="27"/>
  <c r="L15" i="27" s="1"/>
  <c r="M15" i="27" s="1"/>
  <c r="G15" i="27"/>
  <c r="H15" i="27" s="1"/>
  <c r="I15" i="27" s="1"/>
  <c r="K14" i="27"/>
  <c r="L14" i="27" s="1"/>
  <c r="M14" i="27" s="1"/>
  <c r="G14" i="27"/>
  <c r="H14" i="27" s="1"/>
  <c r="I14" i="27" s="1"/>
  <c r="K13" i="27"/>
  <c r="L13" i="27" s="1"/>
  <c r="M13" i="27" s="1"/>
  <c r="H13" i="27"/>
  <c r="I13" i="27" s="1"/>
  <c r="G13" i="27"/>
  <c r="K34" i="31"/>
  <c r="K33" i="31"/>
  <c r="J34" i="31"/>
  <c r="J33" i="31"/>
  <c r="I34" i="31"/>
  <c r="I33" i="31"/>
  <c r="H34" i="31"/>
  <c r="H33" i="31"/>
  <c r="G34" i="31"/>
  <c r="G33" i="31"/>
  <c r="F34" i="31"/>
  <c r="F33" i="31"/>
  <c r="E34" i="31"/>
  <c r="E33" i="31"/>
  <c r="K32" i="31"/>
  <c r="K31" i="31"/>
  <c r="J32" i="31"/>
  <c r="J31" i="31"/>
  <c r="I32" i="31"/>
  <c r="I31" i="31"/>
  <c r="H32" i="31"/>
  <c r="H31" i="31"/>
  <c r="G32" i="31"/>
  <c r="G31" i="31"/>
  <c r="F32" i="31"/>
  <c r="F31" i="31"/>
  <c r="E32" i="31"/>
  <c r="E31" i="31"/>
  <c r="K29" i="31"/>
  <c r="K30" i="31" s="1"/>
  <c r="J29" i="31"/>
  <c r="I29" i="31"/>
  <c r="H29" i="31"/>
  <c r="G29" i="31"/>
  <c r="G30" i="31" s="1"/>
  <c r="F29" i="31"/>
  <c r="E29" i="31"/>
  <c r="K27" i="31"/>
  <c r="J27" i="31"/>
  <c r="I27" i="31"/>
  <c r="H27" i="31"/>
  <c r="G27" i="31"/>
  <c r="F27" i="31"/>
  <c r="E27" i="31"/>
  <c r="K26" i="31"/>
  <c r="K25" i="31"/>
  <c r="J26" i="31"/>
  <c r="J25" i="31"/>
  <c r="I26" i="31"/>
  <c r="I25" i="31"/>
  <c r="H26" i="31"/>
  <c r="H25" i="31"/>
  <c r="G26" i="31"/>
  <c r="G25" i="31"/>
  <c r="F26" i="31"/>
  <c r="F25" i="31"/>
  <c r="E26" i="31"/>
  <c r="E25" i="31"/>
  <c r="K24" i="31"/>
  <c r="K23" i="31"/>
  <c r="J24" i="31"/>
  <c r="J23" i="31"/>
  <c r="I24" i="31"/>
  <c r="I23" i="31"/>
  <c r="H24" i="31"/>
  <c r="H23" i="31"/>
  <c r="G24" i="31"/>
  <c r="G23" i="31"/>
  <c r="F24" i="31"/>
  <c r="F23" i="31"/>
  <c r="E24" i="31"/>
  <c r="E23" i="31"/>
  <c r="K21" i="31"/>
  <c r="K22" i="31" s="1"/>
  <c r="J21" i="31"/>
  <c r="I21" i="31"/>
  <c r="H21" i="31"/>
  <c r="G21" i="31"/>
  <c r="F21" i="31"/>
  <c r="E21" i="31"/>
  <c r="K19" i="31"/>
  <c r="J19" i="31"/>
  <c r="J20" i="31" s="1"/>
  <c r="I19" i="31"/>
  <c r="H19" i="31"/>
  <c r="G19" i="31"/>
  <c r="F19" i="31"/>
  <c r="E19" i="31"/>
  <c r="K17" i="31"/>
  <c r="J17" i="31"/>
  <c r="I17" i="31"/>
  <c r="I18" i="31" s="1"/>
  <c r="H17" i="31"/>
  <c r="G17" i="31"/>
  <c r="F17" i="31"/>
  <c r="E17" i="31"/>
  <c r="K15" i="31"/>
  <c r="J15" i="31"/>
  <c r="I15" i="31"/>
  <c r="H15" i="31"/>
  <c r="G15" i="31"/>
  <c r="F15" i="31"/>
  <c r="E15" i="31"/>
  <c r="K13" i="31"/>
  <c r="J13" i="31"/>
  <c r="I13" i="31"/>
  <c r="H13" i="31"/>
  <c r="G13" i="31"/>
  <c r="F13" i="31"/>
  <c r="E13" i="31"/>
  <c r="E14" i="31"/>
  <c r="J30" i="31"/>
  <c r="I30" i="31"/>
  <c r="H30" i="31"/>
  <c r="F30" i="31"/>
  <c r="E30" i="31"/>
  <c r="K28" i="31"/>
  <c r="J28" i="31"/>
  <c r="I28" i="31"/>
  <c r="H28" i="31"/>
  <c r="G28" i="31"/>
  <c r="F28" i="31"/>
  <c r="E28" i="31"/>
  <c r="J22" i="31"/>
  <c r="I22" i="31"/>
  <c r="H22" i="31"/>
  <c r="G22" i="31"/>
  <c r="F22" i="31"/>
  <c r="E22" i="31"/>
  <c r="K20" i="31"/>
  <c r="I20" i="31"/>
  <c r="H20" i="31"/>
  <c r="G20" i="31"/>
  <c r="F20" i="31"/>
  <c r="E20" i="31"/>
  <c r="K18" i="31"/>
  <c r="J18" i="31"/>
  <c r="H18" i="31"/>
  <c r="G18" i="31"/>
  <c r="F18" i="31"/>
  <c r="E18" i="31"/>
  <c r="K16" i="31"/>
  <c r="J16" i="31"/>
  <c r="I16" i="31"/>
  <c r="H16" i="31"/>
  <c r="G16" i="31"/>
  <c r="F16" i="31"/>
  <c r="E16" i="31"/>
  <c r="K14" i="31"/>
  <c r="J14" i="31"/>
  <c r="I14" i="31"/>
  <c r="H14" i="31"/>
  <c r="G14" i="31"/>
  <c r="F14" i="31"/>
  <c r="H43" i="2" l="1"/>
  <c r="H42" i="2"/>
  <c r="H41" i="2"/>
  <c r="H40" i="2"/>
  <c r="H39" i="2"/>
  <c r="H38" i="2"/>
  <c r="H37" i="2"/>
  <c r="H36" i="2"/>
  <c r="D43" i="2"/>
  <c r="D42" i="2"/>
  <c r="D41" i="2"/>
  <c r="D40" i="2"/>
  <c r="D39" i="2"/>
  <c r="D38" i="2"/>
  <c r="D37" i="2"/>
  <c r="D36" i="2"/>
  <c r="J45" i="2"/>
  <c r="I45" i="2"/>
  <c r="H45" i="2"/>
  <c r="G45" i="2"/>
  <c r="F45" i="2"/>
  <c r="E45" i="2"/>
  <c r="D45" i="2"/>
  <c r="J48" i="2"/>
  <c r="I48" i="2"/>
  <c r="H48" i="2"/>
  <c r="G48" i="2"/>
  <c r="F48" i="2"/>
  <c r="E48" i="2"/>
  <c r="D48" i="2"/>
  <c r="J50" i="2"/>
  <c r="I50" i="2"/>
  <c r="H50" i="2"/>
  <c r="G50" i="2"/>
  <c r="F50" i="2"/>
  <c r="E50" i="2"/>
  <c r="D50" i="2"/>
  <c r="C50" i="2" s="1"/>
  <c r="J52" i="2"/>
  <c r="I52" i="2"/>
  <c r="H52" i="2"/>
  <c r="G52" i="2"/>
  <c r="F52" i="2"/>
  <c r="E52" i="2"/>
  <c r="D52" i="2"/>
  <c r="C52" i="2"/>
  <c r="J54" i="2"/>
  <c r="I54" i="2"/>
  <c r="H54" i="2"/>
  <c r="G54" i="2"/>
  <c r="F54" i="2"/>
  <c r="E54" i="2"/>
  <c r="D54" i="2"/>
  <c r="C54" i="2"/>
  <c r="H34" i="2"/>
  <c r="H33" i="2"/>
  <c r="H32" i="2"/>
  <c r="H31" i="2"/>
  <c r="H30" i="2"/>
  <c r="H29" i="2"/>
  <c r="H28" i="2"/>
  <c r="H27" i="2"/>
  <c r="D34" i="2"/>
  <c r="D33" i="2"/>
  <c r="D32" i="2"/>
  <c r="D31" i="2"/>
  <c r="D30" i="2"/>
  <c r="D29" i="2"/>
  <c r="D28" i="2"/>
  <c r="D27" i="2"/>
  <c r="H25" i="2"/>
  <c r="H24" i="2"/>
  <c r="H23" i="2"/>
  <c r="H22" i="2"/>
  <c r="H21" i="2"/>
  <c r="H20" i="2"/>
  <c r="H19" i="2"/>
  <c r="H18" i="2"/>
  <c r="D25" i="2"/>
  <c r="D24" i="2"/>
  <c r="D23" i="2"/>
  <c r="D22" i="2"/>
  <c r="D21" i="2"/>
  <c r="D20" i="2"/>
  <c r="D19" i="2"/>
  <c r="D18" i="2"/>
  <c r="K4" i="2" l="1"/>
  <c r="J4" i="31" s="1"/>
  <c r="J5" i="27" s="1"/>
  <c r="G37" i="2" l="1"/>
  <c r="G38" i="2"/>
  <c r="G39" i="2"/>
  <c r="G40" i="2"/>
  <c r="G41" i="2"/>
  <c r="G42" i="2"/>
  <c r="G43" i="2"/>
  <c r="G36" i="2"/>
  <c r="E37" i="2"/>
  <c r="F37" i="2" s="1"/>
  <c r="E38" i="2"/>
  <c r="F38" i="2" s="1"/>
  <c r="E39" i="2"/>
  <c r="F39" i="2" s="1"/>
  <c r="E40" i="2"/>
  <c r="F40" i="2" s="1"/>
  <c r="E41" i="2"/>
  <c r="F41" i="2" s="1"/>
  <c r="E42" i="2"/>
  <c r="F42" i="2" s="1"/>
  <c r="E43" i="2"/>
  <c r="F43" i="2" s="1"/>
  <c r="E36" i="2"/>
  <c r="F36" i="2" s="1"/>
  <c r="C37" i="2"/>
  <c r="C38" i="2"/>
  <c r="C39" i="2"/>
  <c r="C40" i="2"/>
  <c r="C41" i="2"/>
  <c r="C42" i="2"/>
  <c r="C43" i="2"/>
  <c r="C36" i="2"/>
  <c r="I28" i="2"/>
  <c r="J28" i="2" s="1"/>
  <c r="I29" i="2"/>
  <c r="J29" i="2" s="1"/>
  <c r="I30" i="2"/>
  <c r="J30" i="2" s="1"/>
  <c r="I31" i="2"/>
  <c r="J31" i="2" s="1"/>
  <c r="I32" i="2"/>
  <c r="J32" i="2" s="1"/>
  <c r="I33" i="2"/>
  <c r="J33" i="2" s="1"/>
  <c r="I34" i="2"/>
  <c r="J34" i="2" s="1"/>
  <c r="I27" i="2"/>
  <c r="J27" i="2" s="1"/>
  <c r="G28" i="2"/>
  <c r="G29" i="2"/>
  <c r="G30" i="2"/>
  <c r="G31" i="2"/>
  <c r="G32" i="2"/>
  <c r="G33" i="2"/>
  <c r="G34" i="2"/>
  <c r="G27" i="2"/>
  <c r="E28" i="2"/>
  <c r="F28" i="2" s="1"/>
  <c r="E29" i="2"/>
  <c r="F29" i="2" s="1"/>
  <c r="E30" i="2"/>
  <c r="F30" i="2" s="1"/>
  <c r="E31" i="2"/>
  <c r="F31" i="2" s="1"/>
  <c r="E32" i="2"/>
  <c r="F32" i="2" s="1"/>
  <c r="E33" i="2"/>
  <c r="F33" i="2" s="1"/>
  <c r="E34" i="2"/>
  <c r="F34" i="2" s="1"/>
  <c r="E27" i="2"/>
  <c r="F27" i="2" s="1"/>
  <c r="C28" i="2"/>
  <c r="C29" i="2"/>
  <c r="C30" i="2"/>
  <c r="C31" i="2"/>
  <c r="C32" i="2"/>
  <c r="C33" i="2"/>
  <c r="C34" i="2"/>
  <c r="C27" i="2"/>
  <c r="I19" i="2"/>
  <c r="J19" i="2" s="1"/>
  <c r="I20" i="2"/>
  <c r="J20" i="2" s="1"/>
  <c r="I21" i="2"/>
  <c r="J21" i="2" s="1"/>
  <c r="I22" i="2"/>
  <c r="J22" i="2" s="1"/>
  <c r="I23" i="2"/>
  <c r="J23" i="2" s="1"/>
  <c r="I24" i="2"/>
  <c r="J24" i="2" s="1"/>
  <c r="I25" i="2"/>
  <c r="J25" i="2" s="1"/>
  <c r="I18" i="2"/>
  <c r="J18" i="2" s="1"/>
  <c r="G19" i="2"/>
  <c r="G20" i="2"/>
  <c r="G21" i="2"/>
  <c r="G22" i="2"/>
  <c r="G23" i="2"/>
  <c r="G24" i="2"/>
  <c r="G25" i="2"/>
  <c r="G18" i="2"/>
  <c r="E19" i="2"/>
  <c r="F19" i="2" s="1"/>
  <c r="E20" i="2"/>
  <c r="F20" i="2" s="1"/>
  <c r="E21" i="2"/>
  <c r="F21" i="2" s="1"/>
  <c r="E22" i="2"/>
  <c r="F22" i="2" s="1"/>
  <c r="E23" i="2"/>
  <c r="F23" i="2" s="1"/>
  <c r="E24" i="2"/>
  <c r="F24" i="2" s="1"/>
  <c r="E25" i="2"/>
  <c r="F25" i="2" s="1"/>
  <c r="E18" i="2"/>
  <c r="F18" i="2" s="1"/>
  <c r="C19" i="2"/>
  <c r="C20" i="2"/>
  <c r="C21" i="2"/>
  <c r="C22" i="2"/>
  <c r="C23" i="2"/>
  <c r="C24" i="2"/>
  <c r="C25" i="2"/>
  <c r="C18" i="2"/>
  <c r="C48" i="2" l="1"/>
  <c r="C45" i="2"/>
  <c r="I43" i="2"/>
  <c r="J43" i="2" s="1"/>
  <c r="I42" i="2"/>
  <c r="J42" i="2" s="1"/>
  <c r="I41" i="2"/>
  <c r="J41" i="2" s="1"/>
  <c r="I40" i="2"/>
  <c r="J40" i="2" s="1"/>
  <c r="I39" i="2"/>
  <c r="J39" i="2" s="1"/>
  <c r="I38" i="2"/>
  <c r="J38" i="2" s="1"/>
  <c r="I37" i="2"/>
  <c r="J37" i="2" s="1"/>
  <c r="I36" i="2"/>
  <c r="J36" i="2" s="1"/>
  <c r="I61" i="30" l="1"/>
  <c r="H61" i="30"/>
  <c r="G61" i="30"/>
  <c r="F61" i="30"/>
  <c r="E61" i="30"/>
  <c r="D61" i="30"/>
</calcChain>
</file>

<file path=xl/sharedStrings.xml><?xml version="1.0" encoding="utf-8"?>
<sst xmlns="http://schemas.openxmlformats.org/spreadsheetml/2006/main" count="880" uniqueCount="551">
  <si>
    <t>Тип фрез.</t>
  </si>
  <si>
    <t>Без рис.</t>
  </si>
  <si>
    <t>-</t>
  </si>
  <si>
    <t>МДФ 19 мм</t>
  </si>
  <si>
    <t>МДФ 22 мм</t>
  </si>
  <si>
    <t>матовый</t>
  </si>
  <si>
    <t>Фрезеровка1</t>
  </si>
  <si>
    <t>Фрезеровка 2</t>
  </si>
  <si>
    <t>** - Изготовление указанных фрезеровок возможно только в МДФ толщина 19 мм.</t>
  </si>
  <si>
    <t>e-mail: at-mebel.fasad@mail.ru  сайт:at-mebel.ru</t>
  </si>
  <si>
    <t>МДФ 16мм</t>
  </si>
  <si>
    <t>МДФ 19мм</t>
  </si>
  <si>
    <t>МДФ 22мм</t>
  </si>
  <si>
    <t>ПВХ</t>
  </si>
  <si>
    <t>Фрезеровка</t>
  </si>
  <si>
    <t>Высота фасада</t>
  </si>
  <si>
    <t>без рисунка</t>
  </si>
  <si>
    <t>МДФ,мм</t>
  </si>
  <si>
    <t>Вид радиуса</t>
  </si>
  <si>
    <t>Матовый</t>
  </si>
  <si>
    <t xml:space="preserve">454008 г. Челябинск, ул. Производственная, 4-А      </t>
  </si>
  <si>
    <t>Внешний вид</t>
  </si>
  <si>
    <t>Наименование</t>
  </si>
  <si>
    <t>Цена, руб./ шт</t>
  </si>
  <si>
    <t xml:space="preserve">Витраж-шелкография Вензель1 </t>
  </si>
  <si>
    <t>Витраж-шелкография Вензель1 радиусный</t>
  </si>
  <si>
    <t>Витраж-шелкография Венецианская решетка</t>
  </si>
  <si>
    <t>Витраж-шелкография Венецианская решетка радиусный</t>
  </si>
  <si>
    <t>Декоративный витраж DL108Т</t>
  </si>
  <si>
    <t>Декоративный витраж DL108Т радиусный</t>
  </si>
  <si>
    <t>Витраж-гравировка V6</t>
  </si>
  <si>
    <t>Витраж-гравировка V6 радиусный</t>
  </si>
  <si>
    <t>Прайс на погонаж для изготовления радиусных шкафов купе.</t>
  </si>
  <si>
    <t>№п/п</t>
  </si>
  <si>
    <t>Номенклатура</t>
  </si>
  <si>
    <t>Прайс на декоративные элементы ПВХ</t>
  </si>
  <si>
    <t>Артикул</t>
  </si>
  <si>
    <t>Декор №2</t>
  </si>
  <si>
    <t>Декор №3</t>
  </si>
  <si>
    <t>Глухой</t>
  </si>
  <si>
    <t>Размер витража</t>
  </si>
  <si>
    <t>Н=630</t>
  </si>
  <si>
    <t>Н=810</t>
  </si>
  <si>
    <t>630*310</t>
  </si>
  <si>
    <t>810*360</t>
  </si>
  <si>
    <t>R300, R242</t>
  </si>
  <si>
    <t>R450, R600, R1000</t>
  </si>
  <si>
    <t>** - Изготовление указанных фрезеровок возможно только в МДФ толщина 19 мм. Для данных фасадов добавляется к цене 300 рублей за кв.м</t>
  </si>
  <si>
    <t>Расчет площади фасада: S = [расчетная ширина] * [высота фасада]</t>
  </si>
  <si>
    <t>**-Изготовление указанных фрезеровок возможно только в МДФ толщина 19 мм.</t>
  </si>
  <si>
    <t>**-Изготовление указанных фрезеровок возможно только в МДФ толщина 19 мм. Для данных фасадов добавляется к цене 300 рублей за 1 м2</t>
  </si>
  <si>
    <t>Для фасадов под стекло добавка к цене 500 рублей за 1 м2</t>
  </si>
  <si>
    <t>Фрезеровка 3</t>
  </si>
  <si>
    <t>ТИП 1</t>
  </si>
  <si>
    <t xml:space="preserve">ТИП 2 </t>
  </si>
  <si>
    <t>Фасад под стекло +</t>
  </si>
  <si>
    <t>Фасад  глухой +</t>
  </si>
  <si>
    <t xml:space="preserve">фасад  глухой </t>
  </si>
  <si>
    <t>ТИП 3</t>
  </si>
  <si>
    <t>Фасад глухой +</t>
  </si>
  <si>
    <t xml:space="preserve">ТИП 4 </t>
  </si>
  <si>
    <t>Фасад под стекло</t>
  </si>
  <si>
    <t>ТИП 5</t>
  </si>
  <si>
    <t>ТИП 6</t>
  </si>
  <si>
    <t>ТИП 7</t>
  </si>
  <si>
    <t>ТИП 8</t>
  </si>
  <si>
    <t>решетка накладная</t>
  </si>
  <si>
    <t>решетка с колоннами</t>
  </si>
  <si>
    <t xml:space="preserve">454008 г. Челябинск, ул. Автодорожная, 7-А  </t>
  </si>
  <si>
    <t>ТАБЛИЦА ТИПОВ ФАСАДОВ- ПРЕМИУМ</t>
  </si>
  <si>
    <t>Размерный ряд по фасадам со сложными фрезеровками и деккоративными элементами</t>
  </si>
  <si>
    <t>396,446 мм</t>
  </si>
  <si>
    <t>ПАТИНА</t>
  </si>
  <si>
    <t>ВЫСОКИЙ ГЛЯНЕЦ</t>
  </si>
  <si>
    <t xml:space="preserve">454008 г. Челябинск, ул.Автодорожная 7а                                    </t>
  </si>
  <si>
    <t xml:space="preserve"> ул.Автодорожная 7а      </t>
  </si>
  <si>
    <t xml:space="preserve">454008 г. Челябинск,   ул.Автодорожная 7а           </t>
  </si>
  <si>
    <t>Категории и Типы фрезеровок</t>
  </si>
  <si>
    <t>Категория 1</t>
  </si>
  <si>
    <t>Категория 2</t>
  </si>
  <si>
    <t>Категория 3</t>
  </si>
  <si>
    <t>Категория 4</t>
  </si>
  <si>
    <t>Категория 5</t>
  </si>
  <si>
    <t>Категория 6</t>
  </si>
  <si>
    <t>Категория 7</t>
  </si>
  <si>
    <t>Цена руб. за кв.м.</t>
  </si>
  <si>
    <t>накладка фрезерованная</t>
  </si>
  <si>
    <t>накладка гладкая (без рис.)</t>
  </si>
  <si>
    <t xml:space="preserve">накладка гладкая (без рис.) </t>
  </si>
  <si>
    <t xml:space="preserve">Декор №5
</t>
  </si>
  <si>
    <t xml:space="preserve">Декор №7
</t>
  </si>
  <si>
    <t xml:space="preserve">Декор №8
</t>
  </si>
  <si>
    <t xml:space="preserve">Декор №9
</t>
  </si>
  <si>
    <t>Декор №12</t>
  </si>
  <si>
    <t>Декор №13</t>
  </si>
  <si>
    <t>Декор №18</t>
  </si>
  <si>
    <t>Декор №19</t>
  </si>
  <si>
    <t xml:space="preserve">Декор №10
</t>
  </si>
  <si>
    <t>Декор №4</t>
  </si>
  <si>
    <t xml:space="preserve">Декор №11
</t>
  </si>
  <si>
    <t>В случае заказа  фасадов одного цвета плёнки общей площадью от 0,5 м2 до 1 м2  - оплата производится как за 1 м2, менее 0,5 м2-оплата производится как за 0,5 м2. ( При расчете квадратуры не суммируются радиусные фасады, декоративные элементы, сборные фасады.)</t>
  </si>
  <si>
    <t xml:space="preserve">    Стоимость дверных накладок (цена указанна за кв.м. ); минимальный размер накладки 1700*700</t>
  </si>
  <si>
    <t>1500 за кв.метр</t>
  </si>
  <si>
    <t xml:space="preserve">В случае заказа  фасадов одного цвета  общей площадью от 0,5 м2 до 1 м2  - оплата производится как за 1 м2, менее 0,5 м2-оплата производится как за 0,5 м2. </t>
  </si>
  <si>
    <t>Размеры радусного профиля</t>
  </si>
  <si>
    <t>1,2,4</t>
  </si>
  <si>
    <t>1,4,5,6,7</t>
  </si>
  <si>
    <t>Размер</t>
  </si>
  <si>
    <t>Эмаль</t>
  </si>
  <si>
    <t>ПВХ+высокий глянец</t>
  </si>
  <si>
    <t>Декор №20</t>
  </si>
  <si>
    <t>Декор №21</t>
  </si>
  <si>
    <t>Декор №22</t>
  </si>
  <si>
    <t>Декор №16</t>
  </si>
  <si>
    <t>Декор №23</t>
  </si>
  <si>
    <t>Декор №24</t>
  </si>
  <si>
    <t>Декор №25</t>
  </si>
  <si>
    <t>патина</t>
  </si>
  <si>
    <t>без патины</t>
  </si>
  <si>
    <t>ширина</t>
  </si>
  <si>
    <t>высота</t>
  </si>
  <si>
    <t>Декоративная дуга</t>
  </si>
  <si>
    <t>Баллюстрада,1800</t>
  </si>
  <si>
    <t>Баллюстрада,1000</t>
  </si>
  <si>
    <t xml:space="preserve"> патина</t>
  </si>
  <si>
    <t xml:space="preserve"> Малая №1,2,3,4,5</t>
  </si>
  <si>
    <t xml:space="preserve">    Большая №1,2,3,4,5,</t>
  </si>
  <si>
    <t xml:space="preserve">патина </t>
  </si>
  <si>
    <t>Корона декоративная</t>
  </si>
  <si>
    <t>Карниз верхний большой №8 (фигурный)</t>
  </si>
  <si>
    <t>Карниз верхний малый №7</t>
  </si>
  <si>
    <t>1200*50</t>
  </si>
  <si>
    <t>Карниз нижний радиусный (вогнутый) №1,3,5</t>
  </si>
  <si>
    <t>Карниз верхний большой радиусный (вогнутый) №1,2,3,5</t>
  </si>
  <si>
    <t>Карниз верхний большой радиусный №1,2,3,4,5</t>
  </si>
  <si>
    <t>Карниз нижний №1,2,3,4,5</t>
  </si>
  <si>
    <t>Карниз верхний большой №1,2,3,4,5</t>
  </si>
  <si>
    <t>1200*100</t>
  </si>
  <si>
    <t>высокий глянец          без патины</t>
  </si>
  <si>
    <t>размеры</t>
  </si>
  <si>
    <t>Карнизы декоративные</t>
  </si>
  <si>
    <t>11,14,15,16,17</t>
  </si>
  <si>
    <t>эмаль + патина</t>
  </si>
  <si>
    <t>эмаль</t>
  </si>
  <si>
    <t>высокий глянец + патина</t>
  </si>
  <si>
    <t>высокий глянец / без патины</t>
  </si>
  <si>
    <t>без/патины</t>
  </si>
  <si>
    <t>№</t>
  </si>
  <si>
    <t>Ролики купе Ал АСИММЕТРИЯ (комплект на дверь) на одну дверь необходимо 2 комплекта</t>
  </si>
  <si>
    <t>АСИМЕТРИЯ</t>
  </si>
  <si>
    <t>Заглушка-демпфер</t>
  </si>
  <si>
    <t>КП 04-01</t>
  </si>
  <si>
    <t>Универсальный горизонтальный профиль L=6 м</t>
  </si>
  <si>
    <t>РК-УГ</t>
  </si>
  <si>
    <t>Средний горизонтальный профиль L=6 м</t>
  </si>
  <si>
    <t>РК-СГ</t>
  </si>
  <si>
    <t>Нижняя направляющая, врезной профиль L=6 м</t>
  </si>
  <si>
    <t>РКМ-НН</t>
  </si>
  <si>
    <t>Карниз(фриз) 75 мм для радиусного шкафа купе L=6 м</t>
  </si>
  <si>
    <t>РК-КФ75</t>
  </si>
  <si>
    <t xml:space="preserve">Верхняя направляющая,     врезной профиль L=6 м </t>
  </si>
  <si>
    <t>РКМ-ДВ</t>
  </si>
  <si>
    <t>Алюминиевая ручка,              вертикальная ассиметричная L=6 м</t>
  </si>
  <si>
    <t>Цена, руб./шт.</t>
  </si>
  <si>
    <t>Доступные цвета: ЗОЛОТО, СЕРЕБРО, ОРУЖЕЙНЫЙ</t>
  </si>
  <si>
    <t>e-mail: at-mebel.fasad@mail.ru  сайт: www.at-mebel.ru</t>
  </si>
  <si>
    <t>2 категория +10%;3 категория+30%;4 категория+50%;5 категория +60%;6 категория +80%;7 категория +100%.</t>
  </si>
  <si>
    <t>800*50</t>
  </si>
  <si>
    <t>1600*50</t>
  </si>
  <si>
    <t>2050*50</t>
  </si>
  <si>
    <t>2500*50</t>
  </si>
  <si>
    <t>800*100</t>
  </si>
  <si>
    <t>1600*100</t>
  </si>
  <si>
    <t>2050*100</t>
  </si>
  <si>
    <t>2500*100</t>
  </si>
  <si>
    <t>Комби 2</t>
  </si>
  <si>
    <t>Комби 3</t>
  </si>
  <si>
    <t>Комби 9</t>
  </si>
  <si>
    <t>Комби 10</t>
  </si>
  <si>
    <t>толщина</t>
  </si>
  <si>
    <t>16+10</t>
  </si>
  <si>
    <t>19+16</t>
  </si>
  <si>
    <t>19+3</t>
  </si>
  <si>
    <t xml:space="preserve">фасад глухой </t>
  </si>
  <si>
    <t>рамка</t>
  </si>
  <si>
    <t>В случае когда для изготовления фасадов используется пленка разных категорий расчет производится по более высокой категории.</t>
  </si>
  <si>
    <t xml:space="preserve">Наценка  за 1 кв. м.  в зависимости от категории пленки на комбинированные фасады. </t>
  </si>
  <si>
    <t>Декор №26</t>
  </si>
  <si>
    <t>Карниз нижний радиусный №1,3,4,5</t>
  </si>
  <si>
    <t>Декор №31</t>
  </si>
  <si>
    <t>Карниз верхний большой радиусный №8</t>
  </si>
  <si>
    <t>Карниз верхний большой №9</t>
  </si>
  <si>
    <t>Карниз верхний большой радиусный №9</t>
  </si>
  <si>
    <t xml:space="preserve">Схема расчета стоимости радиусного фасада менее 200мм: *Расчет площади фасада, S=570*h,  где h-высота фасада, минимальная расчетная высота фасада 200мм.
</t>
  </si>
  <si>
    <t>МДФ 3мм</t>
  </si>
  <si>
    <t>МДФ 10мм</t>
  </si>
  <si>
    <t>т.211-00-33, 211-38-18, 231-36-62</t>
  </si>
  <si>
    <t>т.211-00-33, 2113818, 2313-662</t>
  </si>
  <si>
    <t>Внимание: Изготовление радиусных элементов в размер с заданным радиусом - 180 руб/м.пог.</t>
  </si>
  <si>
    <t>Решетка декоративная с патиной,  1 м2</t>
  </si>
  <si>
    <t>Решетка  индивидуального цвета, 1 м2</t>
  </si>
  <si>
    <t>Решетка декоративная, 1 м2</t>
  </si>
  <si>
    <t>345х90х11</t>
  </si>
  <si>
    <t>280х130х9</t>
  </si>
  <si>
    <t>113х113х11</t>
  </si>
  <si>
    <t>65х80х10</t>
  </si>
  <si>
    <t>80х43х11</t>
  </si>
  <si>
    <t>67х40х8</t>
  </si>
  <si>
    <t>70х45х11</t>
  </si>
  <si>
    <t>275х195х6</t>
  </si>
  <si>
    <t>135х100х16</t>
  </si>
  <si>
    <t>100х100х25</t>
  </si>
  <si>
    <t>55х55х10</t>
  </si>
  <si>
    <t>215х115х8</t>
  </si>
  <si>
    <t>210х600х8</t>
  </si>
  <si>
    <t>92х92х10</t>
  </si>
  <si>
    <t>90х90х11</t>
  </si>
  <si>
    <t>120х485х17</t>
  </si>
  <si>
    <t>75х395х8</t>
  </si>
  <si>
    <t>75х450х7</t>
  </si>
  <si>
    <t>60х490х8</t>
  </si>
  <si>
    <t>110х195х7</t>
  </si>
  <si>
    <t>45х130х8</t>
  </si>
  <si>
    <t>180х285х8</t>
  </si>
  <si>
    <t>65х110х7</t>
  </si>
  <si>
    <t>200х40х5</t>
  </si>
  <si>
    <t>Консоль декоративная</t>
  </si>
  <si>
    <t>МДФ ПН1/5 и ЭН1/5</t>
  </si>
  <si>
    <t>МДФ ПН1/6 и ЭН1/6</t>
  </si>
  <si>
    <t>Полиуретан ЭД1</t>
  </si>
  <si>
    <t>РФВ1</t>
  </si>
  <si>
    <t>РФВ2</t>
  </si>
  <si>
    <t>РФВ3</t>
  </si>
  <si>
    <t>РФВ4</t>
  </si>
  <si>
    <t>РФВ5</t>
  </si>
  <si>
    <t>РФВ6</t>
  </si>
  <si>
    <t>РФВ7</t>
  </si>
  <si>
    <t>РФВ8</t>
  </si>
  <si>
    <t>РФВ9</t>
  </si>
  <si>
    <t>РФЖ2</t>
  </si>
  <si>
    <t>РФК1</t>
  </si>
  <si>
    <t>РФО3</t>
  </si>
  <si>
    <t>РФЦ5</t>
  </si>
  <si>
    <t>Цена, руб</t>
  </si>
  <si>
    <t>РФЖ1</t>
  </si>
  <si>
    <t>РФО1</t>
  </si>
  <si>
    <t>РФО2</t>
  </si>
  <si>
    <t>РФП1</t>
  </si>
  <si>
    <t>РФП2</t>
  </si>
  <si>
    <t>РФЦ1</t>
  </si>
  <si>
    <t>РФЦ2</t>
  </si>
  <si>
    <t>РФЦ3</t>
  </si>
  <si>
    <t>РФЦ4</t>
  </si>
  <si>
    <t>РФЦ6</t>
  </si>
  <si>
    <t>МДФ 28 мм НЕОБЛИЦОВАННАЯ</t>
  </si>
  <si>
    <t>Золото 9249 Серебро    7985</t>
  </si>
  <si>
    <t>Личенца на б/ц, Нз, Ц, лента - ст. золото до 630*310</t>
  </si>
  <si>
    <t>Личенца на б/ц, Нз, Ц, лента - ст. золото до 900*350</t>
  </si>
  <si>
    <t>Личенца на б/ц, Нз, Ц, лента - ст. золото, гнутое 630*376 (R-300)</t>
  </si>
  <si>
    <t>Личенца на б/ц, Нз, Ц, лента - ст. золото, гнутое 810*376 (R-300)</t>
  </si>
  <si>
    <t>Золото 9250 Серебро    7986</t>
  </si>
  <si>
    <t>Золото 9251 Серебро    7988</t>
  </si>
  <si>
    <t>Золото 9252 Серебро    7987</t>
  </si>
  <si>
    <t>Адрия на б/ц, Вз, Н, лента-золото, до 630*310</t>
  </si>
  <si>
    <t>Адрия на б/ц, Вз, Н, лента-золото, до 900*350</t>
  </si>
  <si>
    <t>Адрия на б/ц, Вз, Н, лента-золото, гнутое 630*376 (R-300)</t>
  </si>
  <si>
    <t>Адрия на б/ц, Вз, Н, лента-золото, гнутое 810*376 (R-300)</t>
  </si>
  <si>
    <t>900*350</t>
  </si>
  <si>
    <t>Адрия на б/ц, Вс, Ц, лента-платина, до 630*310</t>
  </si>
  <si>
    <t>Адрия на б/ц, Вс, Ц, лента-платина, гнутое 630*376 (R-300)</t>
  </si>
  <si>
    <t>Адрия на б/ц, Вс, Ц, лента-платина, до 900*350</t>
  </si>
  <si>
    <t>Адрия на б/ц, Вс, Ц, лента-платина, гнутое 810*376 (R-300)</t>
  </si>
  <si>
    <t xml:space="preserve">**Витражи Адрия, Личенца, Риано и Гравировка могут подвергаться механической обработке (обрезке). </t>
  </si>
  <si>
    <t>Риано на б/ц, Кб, Ц, лента-ст. золото, до 630*310</t>
  </si>
  <si>
    <t>Риано на б/ц, Кб, Ц, лента-ст. золото, до 900*350</t>
  </si>
  <si>
    <t>Риано на б/ц, Кб, Ц, лента-ст. золото, гнутое 630*376 (R-300)</t>
  </si>
  <si>
    <t>Риано на б/ц, Кб, Ц, лента-ст. золото, гнутое 810*376 (R-300)</t>
  </si>
  <si>
    <t>Риано Серебро на б/ц, Кб, Н, лента-титан, до 900*350</t>
  </si>
  <si>
    <t>Риано Серебро на б/ц, Кб, Н, лента-титан, до 630*310</t>
  </si>
  <si>
    <t>Риано Серебро на б/ц, Кб, Н, лента-титан, гнутое 630*376 (R-300)</t>
  </si>
  <si>
    <t>Риано Серебро на б/ц, Кб, Н, лента-титан, гнутое 810*376 (R-300)</t>
  </si>
  <si>
    <t>С патиной, шт.</t>
  </si>
  <si>
    <t>Инд. Цвет, шт</t>
  </si>
  <si>
    <t>626*310 (размер решетки)</t>
  </si>
  <si>
    <t>810*510 (размер решетки)</t>
  </si>
  <si>
    <t>1000*400 (размер решетки)</t>
  </si>
  <si>
    <t>Решетка декоративная Глория окраска матовая/глянцевая  (ХДФ) под размер заказчика</t>
  </si>
  <si>
    <t>Комплект образцов витражей (Адрия, Личенца, Риано)</t>
  </si>
  <si>
    <t>Упиливание решетки под размер заказчика</t>
  </si>
  <si>
    <t>300 руб/шт.</t>
  </si>
  <si>
    <t>12,13,18,19,22</t>
  </si>
  <si>
    <t>2,3,8,9, 21</t>
  </si>
  <si>
    <t>23</t>
  </si>
  <si>
    <t>29</t>
  </si>
  <si>
    <t>30</t>
  </si>
  <si>
    <t>МДФ 38мм(не ламинированная)</t>
  </si>
  <si>
    <t>МДФ 38мм(ламинированная)</t>
  </si>
  <si>
    <t>Доплата за двухстороннее покрытие макс. размер 2750*1000</t>
  </si>
  <si>
    <t xml:space="preserve">МДФ 38 мм </t>
  </si>
  <si>
    <t>МДФ 38 мм (обратная сторона НЕ ОБЛИЦОВАННАЯ)</t>
  </si>
  <si>
    <t>800*150</t>
  </si>
  <si>
    <t>1200*150</t>
  </si>
  <si>
    <t>1600*150</t>
  </si>
  <si>
    <t>2050*150</t>
  </si>
  <si>
    <t>2500*150</t>
  </si>
  <si>
    <t>т.211-00-33, 2113818</t>
  </si>
  <si>
    <t>т.211-00-33, 211-38-18</t>
  </si>
  <si>
    <t>Карниз верхний малый №7 радиусный</t>
  </si>
  <si>
    <t>1200*140</t>
  </si>
  <si>
    <t>Карниз нижний №10</t>
  </si>
  <si>
    <t>МДФ28мм( ламинированная)</t>
  </si>
  <si>
    <t xml:space="preserve">Цвета патины:серебро,золото,темно-коричневая,светло-коричневая,черная,голубая,белая,розовая,серая, серебро КРУПНОЕ, золото РОЗОВОЕ, светло-зеленая, темно-зеленая, бежевая, красно-коричневая. </t>
  </si>
  <si>
    <t>3 мм (не ламинированная)</t>
  </si>
  <si>
    <t>МДФ 10,16 мм (ламинированная)</t>
  </si>
  <si>
    <t>МДФ 28 мм (односторонняя белая)</t>
  </si>
  <si>
    <t>Цвета патины</t>
  </si>
  <si>
    <t xml:space="preserve">Серебро, серебро КРУПНОЕ, золото, золото розовое, темно-коричневая, светло-коричневая, черная, голубая, белая, розовая, серая, светло-зеленая, темно-зеленая, красно-коричневая, бежевая </t>
  </si>
  <si>
    <r>
      <t xml:space="preserve">При заказе фасадов с фрезеровкой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color theme="1"/>
        <rFont val="Times New Roman"/>
        <family val="1"/>
        <charset val="204"/>
      </rPr>
      <t>, обязательно указывается тип требуемого фасада (см.таблицу типов)</t>
    </r>
  </si>
  <si>
    <t>Оптовый прайс на фасады МДФ</t>
  </si>
  <si>
    <t>Розничный прайс +15% от оптого</t>
  </si>
  <si>
    <t>Тип 1</t>
  </si>
  <si>
    <t>Тип 2</t>
  </si>
  <si>
    <t>Тип3</t>
  </si>
  <si>
    <t>Тип4</t>
  </si>
  <si>
    <t>Тип 5</t>
  </si>
  <si>
    <t>Тип 3</t>
  </si>
  <si>
    <t>Тип 4</t>
  </si>
  <si>
    <t xml:space="preserve">Категория 7  </t>
  </si>
  <si>
    <t>Фрезеровка 1</t>
  </si>
  <si>
    <t>Арго, Вертикаль, Волна, Горизонт, Домино, Клаус, Крит, Кредо, Лион, Малибу, Мираж, Модерн, Решетка, Сфера, Техно, Шоколад**, Флора, Фора, Фриз, Интегра 1**, Интегра 2**</t>
  </si>
  <si>
    <t xml:space="preserve">Фрезеровка 2 </t>
  </si>
  <si>
    <t xml:space="preserve">Фрезеровка 3  </t>
  </si>
  <si>
    <t>Оптовый прайс радиусных фасадов МДФ</t>
  </si>
  <si>
    <t>Фрезеровка2</t>
  </si>
  <si>
    <t xml:space="preserve">Тип 2 </t>
  </si>
  <si>
    <r>
      <t xml:space="preserve">При заказе фасадов с фрезеровкой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rFont val="Times New Roman"/>
        <family val="1"/>
        <charset val="204"/>
      </rPr>
      <t>, обязательно указывается тип требуемого фасада (см.таблицу типов)</t>
    </r>
  </si>
  <si>
    <t xml:space="preserve">Тип 3 </t>
  </si>
  <si>
    <t>Оптовый прайс на декоративные элементы МДФ</t>
  </si>
  <si>
    <t>Колонны декоративные</t>
  </si>
  <si>
    <t xml:space="preserve"> Бук (под размер заказчика. Срок изготовления 15 раб. дней)</t>
  </si>
  <si>
    <t xml:space="preserve">   Бук (стандартные размеры. Срок изготовления 3 раб. дня)</t>
  </si>
  <si>
    <t>Оптовый прайс на панели гнутые МДФ</t>
  </si>
  <si>
    <t>Стоимость за шт</t>
  </si>
  <si>
    <t>Рамка решетка вкладная</t>
  </si>
  <si>
    <t>Рамка - Балюстрада</t>
  </si>
  <si>
    <t>Примечание</t>
  </si>
  <si>
    <t>5,6,7,8</t>
  </si>
  <si>
    <t>350/800</t>
  </si>
  <si>
    <t>Высота нижнего окна =ширине фасада, фасады изготавливаютс только с эмалевым покрытием.</t>
  </si>
  <si>
    <t xml:space="preserve">ТИП 9 </t>
  </si>
  <si>
    <t>Раскладка</t>
  </si>
  <si>
    <t>Прямоугольник-Премиум, Реус- Премиум**,Скиф-Премиум, Британь 1-Премиум, Британь 2-Премиум, Мурано 1-Премиум, Мурано 2-Премиум, Флоренция-Премиум**</t>
  </si>
  <si>
    <t xml:space="preserve">Взможные фрезеровки: </t>
  </si>
  <si>
    <t>тип</t>
  </si>
  <si>
    <t>Ширина фасада, мм., min/max</t>
  </si>
  <si>
    <t>Высота фасада, мм., min/max</t>
  </si>
  <si>
    <t>См. ограничения соответствующих фрезеровок. Например: Для фрезеровки Прямоугольник-Премиум см. ограничения для фрезеровки Прямоугольник</t>
  </si>
  <si>
    <t>700/1600 мм.</t>
  </si>
  <si>
    <t>600/1500 мм.,                                                        Высота нижнегоо окна 286 мм.</t>
  </si>
  <si>
    <t>1500/2400 мм.,                                                     Высота нижнего олна 720 мм.</t>
  </si>
  <si>
    <t>600/1500 мм.,                                               Высота нижнегоо окна 286 мм.</t>
  </si>
  <si>
    <t>600/1500 мм.,                                                Высота нижнегоо окна 286 мм.</t>
  </si>
  <si>
    <r>
      <t xml:space="preserve">Фасады поставляются в соброном виде. Ширина Рамок-балюстрад (решеток) может итличатся от ширины фрезерованного вернехнего окна в зависемости от выбранной фрезеровки. </t>
    </r>
    <r>
      <rPr>
        <b/>
        <sz val="22"/>
        <color theme="1"/>
        <rFont val="Times New Roman"/>
        <family val="1"/>
        <charset val="204"/>
      </rPr>
      <t>Выборка под стекло в ТИП 6,8 по запросу.</t>
    </r>
  </si>
  <si>
    <r>
      <t xml:space="preserve">396,446 мм.,                                                         По умолчанию с тыльной стороны фасада делается выборка для установки решетки, решетка поставляется отдельно и крепится на изделие заказчиком.                                 </t>
    </r>
    <r>
      <rPr>
        <b/>
        <sz val="22"/>
        <color theme="1"/>
        <rFont val="Times New Roman"/>
        <family val="1"/>
        <charset val="204"/>
      </rPr>
      <t>Выборка под стекло в ТИП 4 делается по запросу.</t>
    </r>
  </si>
  <si>
    <t>Фасад  глухой +  фасад глухой</t>
  </si>
  <si>
    <t>Наценка на декоративные элементы  в зависимости от категории пленки:</t>
  </si>
  <si>
    <t>+1300 руб/кв.м.                                                                                                                                        (КРОМЕ ГЛЯНЦЕВЫХ ПЛЕНОК)</t>
  </si>
  <si>
    <r>
      <t xml:space="preserve">Муза, Муза вензель, Муза решётка, </t>
    </r>
    <r>
      <rPr>
        <b/>
        <sz val="22"/>
        <color theme="1"/>
        <rFont val="Times New Roman"/>
        <family val="1"/>
        <charset val="204"/>
      </rPr>
      <t xml:space="preserve"> </t>
    </r>
    <r>
      <rPr>
        <sz val="22"/>
        <color theme="1"/>
        <rFont val="Times New Roman"/>
        <family val="1"/>
        <charset val="204"/>
      </rPr>
      <t xml:space="preserve">Верона, </t>
    </r>
    <r>
      <rPr>
        <b/>
        <sz val="22"/>
        <color theme="1"/>
        <rFont val="Times New Roman"/>
        <family val="1"/>
        <charset val="204"/>
      </rPr>
      <t>Рим**,Неаполь**,</t>
    </r>
    <r>
      <rPr>
        <sz val="22"/>
        <color theme="1"/>
        <rFont val="Times New Roman"/>
        <family val="1"/>
        <charset val="204"/>
      </rPr>
      <t xml:space="preserve"> Лорис,  Аркада, Милан, </t>
    </r>
    <r>
      <rPr>
        <b/>
        <sz val="22"/>
        <color theme="1"/>
        <rFont val="Times New Roman"/>
        <family val="1"/>
        <charset val="204"/>
      </rPr>
      <t>Спинка кроватная</t>
    </r>
  </si>
  <si>
    <t>Покрытие эмаль</t>
  </si>
  <si>
    <t>Покрытие Пленка ПВХ</t>
  </si>
  <si>
    <t xml:space="preserve">Доплаты </t>
  </si>
  <si>
    <r>
      <t xml:space="preserve">За вставку фрезеровки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color theme="1"/>
        <rFont val="Times New Roman"/>
        <family val="1"/>
        <charset val="204"/>
      </rPr>
      <t xml:space="preserve"> рамка-балясина большая, рамка-решетка большая (для фасада ширина 450) +2700 руб/шт //рамка-балясина малая, рамка-решетка малая (для фасада ширина 400) +2400 руб/шт </t>
    </r>
  </si>
  <si>
    <r>
      <t xml:space="preserve">за вставку фрезеровки </t>
    </r>
    <r>
      <rPr>
        <b/>
        <sz val="24"/>
        <color rgb="FFFF0000"/>
        <rFont val="Times New Roman"/>
        <family val="1"/>
        <charset val="204"/>
      </rPr>
      <t>"Премиум"</t>
    </r>
    <r>
      <rPr>
        <b/>
        <sz val="24"/>
        <color theme="1"/>
        <rFont val="Times New Roman"/>
        <family val="1"/>
        <charset val="204"/>
      </rPr>
      <t xml:space="preserve"> решетка накладная малая (для фасада ширина 400) +800 руб/шт; решетка накладная большая (для фасада ширина 450) +1000 руб/шт </t>
    </r>
  </si>
  <si>
    <r>
      <t>За торец:</t>
    </r>
    <r>
      <rPr>
        <b/>
        <sz val="24"/>
        <color rgb="FFFF0000"/>
        <rFont val="Times New Roman"/>
        <family val="1"/>
        <charset val="204"/>
      </rPr>
      <t xml:space="preserve"> Ажур и Готика</t>
    </r>
    <r>
      <rPr>
        <b/>
        <sz val="24"/>
        <color theme="1"/>
        <rFont val="Times New Roman"/>
        <family val="1"/>
        <charset val="204"/>
      </rPr>
      <t xml:space="preserve"> +200 рублей за 1 м2; </t>
    </r>
    <r>
      <rPr>
        <b/>
        <sz val="24"/>
        <color rgb="FFFF0000"/>
        <rFont val="Times New Roman"/>
        <family val="1"/>
        <charset val="204"/>
      </rPr>
      <t xml:space="preserve">Кредо </t>
    </r>
    <r>
      <rPr>
        <b/>
        <sz val="24"/>
        <color rgb="FF000000"/>
        <rFont val="Times New Roman"/>
        <family val="1"/>
        <charset val="204"/>
      </rPr>
      <t>+100 рублей за 1 м2.</t>
    </r>
  </si>
  <si>
    <t>Комби 11</t>
  </si>
  <si>
    <t>Стоимость сборных фасадов</t>
  </si>
  <si>
    <t>Покрытие Эмаль</t>
  </si>
  <si>
    <t>140х40</t>
  </si>
  <si>
    <t>140х471</t>
  </si>
  <si>
    <t>471х80</t>
  </si>
  <si>
    <t>1200х80</t>
  </si>
  <si>
    <t>50х471</t>
  </si>
  <si>
    <t>100х471</t>
  </si>
  <si>
    <t>2400х50</t>
  </si>
  <si>
    <t>1200х50</t>
  </si>
  <si>
    <t>2400х100</t>
  </si>
  <si>
    <t>1200х100</t>
  </si>
  <si>
    <t>2700х100</t>
  </si>
  <si>
    <t>1200х250</t>
  </si>
  <si>
    <t>800х210</t>
  </si>
  <si>
    <t>82х200</t>
  </si>
  <si>
    <t>98х200</t>
  </si>
  <si>
    <t>125х195</t>
  </si>
  <si>
    <t>с патиной</t>
  </si>
  <si>
    <t>высокий глянец  с патиной</t>
  </si>
  <si>
    <t xml:space="preserve">Эмаль   </t>
  </si>
  <si>
    <t>2700х140</t>
  </si>
  <si>
    <t>2700х50</t>
  </si>
  <si>
    <t>Карниз нижний №9</t>
  </si>
  <si>
    <t>Декоративные элементы из Массива бука</t>
  </si>
  <si>
    <r>
      <t>Решетка декоративная</t>
    </r>
    <r>
      <rPr>
        <sz val="26"/>
        <color indexed="8"/>
        <rFont val="Times New Roman"/>
        <family val="1"/>
        <charset val="204"/>
      </rPr>
      <t xml:space="preserve">  </t>
    </r>
  </si>
  <si>
    <t>Декоративная решетка ХДФ</t>
  </si>
  <si>
    <t>Прайс на витражи</t>
  </si>
  <si>
    <t>Декор №14 (левый)</t>
  </si>
  <si>
    <t>Декор №15 (правый)</t>
  </si>
  <si>
    <t>Декор №27 (правый)</t>
  </si>
  <si>
    <t>Декор №28 (левый)</t>
  </si>
  <si>
    <t>Цена за штуку</t>
  </si>
  <si>
    <t>Размеры (ВхШ)</t>
  </si>
  <si>
    <t>Рисунок</t>
  </si>
  <si>
    <t>Тип1</t>
  </si>
  <si>
    <t>Тип2</t>
  </si>
  <si>
    <t xml:space="preserve">Упиливание в размер - 200руб -за 1 изделие. Проклейка пленкой торца - 200 рублей за одно изделие( возможно не на всех пленках)
</t>
  </si>
  <si>
    <t>Услуги</t>
  </si>
  <si>
    <t>R450,R600,R1000</t>
  </si>
  <si>
    <t>Для фасадов R242, R300, R450 расчетная ширина 570, фасадов R600, R1000 расчетная ширина 1180</t>
  </si>
  <si>
    <t>ПРИМЕР РАСЧЕТА ПЛЩЕДИ ФАСАДА</t>
  </si>
  <si>
    <t>Нужен радиусный фасад высотой 716 выпуклый R300</t>
  </si>
  <si>
    <r>
      <t>Расчет площади фасада: S = [</t>
    </r>
    <r>
      <rPr>
        <sz val="20"/>
        <color theme="1"/>
        <rFont val="Times New Roman"/>
        <family val="1"/>
        <charset val="204"/>
      </rPr>
      <t>расчетная ширина</t>
    </r>
    <r>
      <rPr>
        <b/>
        <sz val="26"/>
        <color theme="1"/>
        <rFont val="Times New Roman"/>
        <family val="1"/>
        <charset val="204"/>
      </rPr>
      <t xml:space="preserve"> 570] * [</t>
    </r>
    <r>
      <rPr>
        <sz val="20"/>
        <color theme="1"/>
        <rFont val="Times New Roman"/>
        <family val="1"/>
        <charset val="204"/>
      </rPr>
      <t>высота фасада</t>
    </r>
    <r>
      <rPr>
        <b/>
        <sz val="26"/>
        <color theme="1"/>
        <rFont val="Times New Roman"/>
        <family val="1"/>
        <charset val="204"/>
      </rPr>
      <t xml:space="preserve"> 716] = 0,4</t>
    </r>
  </si>
  <si>
    <t xml:space="preserve">   </t>
  </si>
  <si>
    <t>2700*50</t>
  </si>
  <si>
    <t>2700*100</t>
  </si>
  <si>
    <t>2700*150</t>
  </si>
  <si>
    <t>МДФ28мм( не ламинированная)</t>
  </si>
  <si>
    <t>Двухсторонние</t>
  </si>
  <si>
    <t xml:space="preserve">Односторонние  </t>
  </si>
  <si>
    <t>Покрытие</t>
  </si>
  <si>
    <t>R242,S450, S900</t>
  </si>
  <si>
    <t>R300</t>
  </si>
  <si>
    <r>
      <t>2 категория +</t>
    </r>
    <r>
      <rPr>
        <b/>
        <sz val="28"/>
        <color rgb="FFFF0000"/>
        <rFont val="Times New Roman"/>
        <family val="1"/>
        <charset val="204"/>
      </rPr>
      <t>10%</t>
    </r>
  </si>
  <si>
    <r>
      <t>3 категория +</t>
    </r>
    <r>
      <rPr>
        <b/>
        <sz val="28"/>
        <color rgb="FFFF0000"/>
        <rFont val="Times New Roman"/>
        <family val="1"/>
        <charset val="204"/>
      </rPr>
      <t>20%</t>
    </r>
  </si>
  <si>
    <r>
      <t>4 категория +</t>
    </r>
    <r>
      <rPr>
        <b/>
        <sz val="28"/>
        <color rgb="FFFF0000"/>
        <rFont val="Times New Roman"/>
        <family val="1"/>
        <charset val="204"/>
      </rPr>
      <t>30%</t>
    </r>
  </si>
  <si>
    <r>
      <t>5 категория +</t>
    </r>
    <r>
      <rPr>
        <b/>
        <sz val="28"/>
        <color rgb="FFFF0000"/>
        <rFont val="Times New Roman"/>
        <family val="1"/>
        <charset val="204"/>
      </rPr>
      <t>40%</t>
    </r>
  </si>
  <si>
    <r>
      <t>6 категория +</t>
    </r>
    <r>
      <rPr>
        <b/>
        <sz val="28"/>
        <color rgb="FFFF0000"/>
        <rFont val="Times New Roman"/>
        <family val="1"/>
        <charset val="204"/>
      </rPr>
      <t>50%</t>
    </r>
  </si>
  <si>
    <r>
      <t>7 категория +</t>
    </r>
    <r>
      <rPr>
        <b/>
        <sz val="28"/>
        <color rgb="FFFF0000"/>
        <rFont val="Times New Roman"/>
        <family val="1"/>
        <charset val="204"/>
      </rPr>
      <t>60%</t>
    </r>
  </si>
  <si>
    <r>
      <rPr>
        <b/>
        <sz val="24"/>
        <color theme="1"/>
        <rFont val="Times New Roman"/>
        <family val="1"/>
        <charset val="204"/>
      </rPr>
      <t>Премиум:</t>
    </r>
    <r>
      <rPr>
        <sz val="24"/>
        <color theme="1"/>
        <rFont val="Times New Roman"/>
        <family val="1"/>
        <charset val="204"/>
      </rPr>
      <t xml:space="preserve"> Прямоугольник</t>
    </r>
  </si>
  <si>
    <r>
      <rPr>
        <b/>
        <sz val="22"/>
        <color theme="1"/>
        <rFont val="Times New Roman"/>
        <family val="1"/>
        <charset val="204"/>
      </rPr>
      <t>Премиум:</t>
    </r>
    <r>
      <rPr>
        <sz val="22"/>
        <color theme="1"/>
        <rFont val="Times New Roman"/>
        <family val="1"/>
        <charset val="204"/>
      </rPr>
      <t xml:space="preserve"> </t>
    </r>
    <r>
      <rPr>
        <b/>
        <sz val="22"/>
        <color theme="1"/>
        <rFont val="Times New Roman"/>
        <family val="1"/>
        <charset val="204"/>
      </rPr>
      <t>Реус</t>
    </r>
    <r>
      <rPr>
        <sz val="22"/>
        <color theme="1"/>
        <rFont val="Times New Roman"/>
        <family val="1"/>
        <charset val="204"/>
      </rPr>
      <t xml:space="preserve"> **, Скиф, Цезарь,Уно, Палермо, Корсика, Британь1, Британь2, Мурано1, Мурано2, Флоренция**</t>
    </r>
  </si>
  <si>
    <r>
      <t xml:space="preserve">Ампир, Лира,  Мурано,  Мурано 2, Британь, Британь 2, </t>
    </r>
    <r>
      <rPr>
        <b/>
        <sz val="22"/>
        <color theme="1"/>
        <rFont val="Times New Roman"/>
        <family val="1"/>
        <charset val="204"/>
      </rPr>
      <t>Реус**,</t>
    </r>
    <r>
      <rPr>
        <sz val="22"/>
        <color theme="1"/>
        <rFont val="Times New Roman"/>
        <family val="1"/>
        <charset val="204"/>
      </rPr>
      <t xml:space="preserve"> Цезарь,  Цезарь 3, Цезарь 4, Скиф, Моцарт,  Соло, Мадрид, Корсика, Лжевыборка, </t>
    </r>
    <r>
      <rPr>
        <b/>
        <sz val="22"/>
        <color theme="1"/>
        <rFont val="Times New Roman"/>
        <family val="1"/>
        <charset val="204"/>
      </rPr>
      <t>Тренто**,</t>
    </r>
    <r>
      <rPr>
        <b/>
        <sz val="22"/>
        <color rgb="FFFF0000"/>
        <rFont val="Times New Roman"/>
        <family val="1"/>
        <charset val="204"/>
      </rPr>
      <t xml:space="preserve"> </t>
    </r>
    <r>
      <rPr>
        <sz val="22"/>
        <color theme="1"/>
        <rFont val="Times New Roman"/>
        <family val="1"/>
        <charset val="204"/>
      </rPr>
      <t>Камни, Тетрис, Гановер, Гановер 3, Гановер 4, Кельн, Трир, Берген.</t>
    </r>
  </si>
  <si>
    <t>Арго, Арка, Арка двойная, Вертикаль, Горизонт, Квадро, Классик, Классик двойной, Клаус, Крит, Лион, Мираж, Прямоугольник, Решетка,Танго,Техно, Флора,  Фора</t>
  </si>
  <si>
    <t>МАТОВЫЙ ЛАК</t>
  </si>
  <si>
    <t>+1 000 руб/кв.м.                                                                                                       (РЕКОМЕНДУЕТСЯ ДЛЯ ПЛЕНОК СКЛОННЫХ К ПОЯВЛЕНЮ ЦАРАПИН)</t>
  </si>
  <si>
    <t xml:space="preserve">454008 г. Челябинск, ул. Автодорожная 7а                                    </t>
  </si>
  <si>
    <t xml:space="preserve">454008 г. Челябинск,          ул. Автодорожная 7а                             </t>
  </si>
  <si>
    <t>Розничный прайс +15% от оптового</t>
  </si>
  <si>
    <t>Цена приведена для изделий в пленки ПВХ - 1 категории.</t>
  </si>
  <si>
    <t>Стыковочный элемент для карниза № 8</t>
  </si>
  <si>
    <t>Балюстрады</t>
  </si>
  <si>
    <t>Балюстрада радиусная  1/2 круга (R=235 наружный)</t>
  </si>
  <si>
    <t>Балюстрада радиусная большая 1/4 круга (R=235 наружный)</t>
  </si>
  <si>
    <t>Балюстрада радиусная малая 1/4 круга (R=235 наружный)</t>
  </si>
  <si>
    <t>Балюстрада радиусная малая 1/4 круга (R=295 наружный)</t>
  </si>
  <si>
    <t>Балюстрада, 600</t>
  </si>
  <si>
    <t>Балюстрада, 800</t>
  </si>
  <si>
    <t>Тонированная, крашеная.</t>
  </si>
  <si>
    <t>Окраска балюстрад и решеток возможна в нестандартные цвета (согласно RAL,WC),стоимость услуги составляет 500 рублей к стоимости изделия.</t>
  </si>
  <si>
    <t>2750х80</t>
  </si>
  <si>
    <t>МДФ 16 мм      (от 90 до 2000)</t>
  </si>
  <si>
    <t>МДФ 19 мм      (от 90 до 2000)</t>
  </si>
  <si>
    <t>МДФ 16 мм  (от 90 до 1000)</t>
  </si>
  <si>
    <t>МДФ 19 мм  (от 90 до 1000)</t>
  </si>
  <si>
    <t>МДФ 19 мм от (от 90 до 1000)</t>
  </si>
  <si>
    <t>МДФ 16 мм от (от 90 до 1000)</t>
  </si>
  <si>
    <t>МДФ 16 мм   (от 90 до 900)</t>
  </si>
  <si>
    <t>МДФ 19 мм   (от 90 до 900)</t>
  </si>
  <si>
    <t>Тип4     (R300)</t>
  </si>
  <si>
    <t xml:space="preserve">Тип4   </t>
  </si>
  <si>
    <r>
      <t>16 мм :</t>
    </r>
    <r>
      <rPr>
        <sz val="24"/>
        <rFont val="Times New Roman"/>
        <family val="1"/>
        <charset val="204"/>
      </rPr>
      <t xml:space="preserve"> Миф,  Крокко, Фриз, Кредо, Мозаика, Аркада, Верона,</t>
    </r>
    <r>
      <rPr>
        <sz val="24"/>
        <color rgb="FFFF0000"/>
        <rFont val="Times New Roman"/>
        <family val="1"/>
        <charset val="204"/>
      </rPr>
      <t xml:space="preserve"> </t>
    </r>
    <r>
      <rPr>
        <sz val="24"/>
        <rFont val="Times New Roman"/>
        <family val="1"/>
        <charset val="204"/>
      </rPr>
      <t xml:space="preserve"> Кредо, Лорис, Милан, Муза, Муза вензель, Муза решетка, </t>
    </r>
    <r>
      <rPr>
        <b/>
        <sz val="24"/>
        <rFont val="Times New Roman"/>
        <family val="1"/>
        <charset val="204"/>
      </rPr>
      <t xml:space="preserve"> Турин</t>
    </r>
  </si>
  <si>
    <t>19 мм :  Шоколад**, Каприз**, Арта**, Малибу**, Рим**.</t>
  </si>
  <si>
    <t>Ампир, Британь 1, Британь2, Моцарт, Мурано1, Мурано 2, Скиф, Соло, Кельн, Трир, Гановер, Берген, Палермо, Кантри.</t>
  </si>
  <si>
    <r>
      <t xml:space="preserve">16 мм : </t>
    </r>
    <r>
      <rPr>
        <sz val="24"/>
        <rFont val="Times New Roman"/>
        <family val="1"/>
        <charset val="204"/>
      </rPr>
      <t>Корсика, Лжевыборка.</t>
    </r>
  </si>
  <si>
    <t>19 мм : Венеция **, Флоренция**, Реус**, Бьянка**</t>
  </si>
  <si>
    <t>МДФ 16 мм             от 90 до 2200</t>
  </si>
  <si>
    <t xml:space="preserve">+ 1500 руб/кв.м.            </t>
  </si>
  <si>
    <t>МДФ 19 мм             от 90 до 2200</t>
  </si>
  <si>
    <t>МДФ 16 мм                от 90 до 1300</t>
  </si>
  <si>
    <t>МДФ 19 мм             от 90 до 1300</t>
  </si>
  <si>
    <t>МДФ 16 мм                от 90 до 1000</t>
  </si>
  <si>
    <t>МДФ 19 мм             от 90 до 1000</t>
  </si>
  <si>
    <t>16 мм :  Арго, Вертикаль, Волна, Горизонт, Домино, Клаус, Крит, Кредо, Лион, Малибу, Мираж, Модерн, Решетка, Сфера, Техно, , Флора, Фора, Фриз</t>
  </si>
  <si>
    <t>19 мм : Шоколад**</t>
  </si>
  <si>
    <t>16 мм :Арка, Арка двойная, Аркада, Британь, Верона, Квадро, Классик, Классик двойной, Крокко, Лорис, Милан, Миф, Моцарт, Муза, Муза вензель, Муза решётка, Мурано, Прямоугольник,  Мурано, Скиф, Соло, Танго,Турин, Кельн, Трир, Гановер, Берген.</t>
  </si>
  <si>
    <t>19 мм : Неаполь**, Рим**, Бьянка**</t>
  </si>
  <si>
    <t>Категория 0</t>
  </si>
  <si>
    <r>
      <t xml:space="preserve"> Вертикаль, Решетка, Клаус, Крит, Лион, Фора,  Флора,  Мираж, Арго</t>
    </r>
    <r>
      <rPr>
        <b/>
        <sz val="24"/>
        <color theme="1"/>
        <rFont val="Times New Roman"/>
        <family val="1"/>
        <charset val="204"/>
      </rPr>
      <t xml:space="preserve">, </t>
    </r>
    <r>
      <rPr>
        <sz val="24"/>
        <color theme="1"/>
        <rFont val="Times New Roman"/>
        <family val="1"/>
        <charset val="204"/>
      </rPr>
      <t>Горизонт, Техно, Прямоугольник, Танго, Классика, Классика двойная Арка, Арка двойная, Квадро.</t>
    </r>
  </si>
  <si>
    <r>
      <rPr>
        <b/>
        <sz val="22"/>
        <rFont val="Times New Roman"/>
        <family val="1"/>
        <charset val="204"/>
      </rPr>
      <t>Категория 1</t>
    </r>
    <r>
      <rPr>
        <b/>
        <sz val="20"/>
        <rFont val="Times New Roman"/>
        <family val="1"/>
        <charset val="204"/>
      </rPr>
      <t xml:space="preserve"> </t>
    </r>
  </si>
  <si>
    <r>
      <rPr>
        <b/>
        <sz val="22"/>
        <rFont val="Times New Roman"/>
        <family val="1"/>
        <charset val="204"/>
      </rPr>
      <t xml:space="preserve">Категория 2 </t>
    </r>
    <r>
      <rPr>
        <b/>
        <sz val="20"/>
        <rFont val="Times New Roman"/>
        <family val="1"/>
        <charset val="204"/>
      </rPr>
      <t/>
    </r>
  </si>
  <si>
    <r>
      <rPr>
        <b/>
        <sz val="22"/>
        <rFont val="Times New Roman"/>
        <family val="1"/>
        <charset val="204"/>
      </rPr>
      <t xml:space="preserve">Категория 3 </t>
    </r>
    <r>
      <rPr>
        <b/>
        <sz val="15"/>
        <rFont val="Times New Roman"/>
        <family val="1"/>
        <charset val="204"/>
      </rPr>
      <t/>
    </r>
  </si>
  <si>
    <r>
      <rPr>
        <b/>
        <sz val="22"/>
        <rFont val="Times New Roman"/>
        <family val="1"/>
        <charset val="204"/>
      </rPr>
      <t xml:space="preserve">Категория 4   </t>
    </r>
    <r>
      <rPr>
        <b/>
        <sz val="15"/>
        <rFont val="Times New Roman"/>
        <family val="1"/>
        <charset val="204"/>
      </rPr>
      <t/>
    </r>
  </si>
  <si>
    <t xml:space="preserve">Категория 5 </t>
  </si>
  <si>
    <t xml:space="preserve">Категория 6 </t>
  </si>
  <si>
    <t>глянец</t>
  </si>
  <si>
    <t>Патина , эффекты(звездное небо, жемчуг, перламутр)</t>
  </si>
  <si>
    <t>0 категория</t>
  </si>
  <si>
    <t>1 категория</t>
  </si>
  <si>
    <t>2 категория</t>
  </si>
  <si>
    <t>3 категория</t>
  </si>
  <si>
    <t>Глянцевая</t>
  </si>
  <si>
    <t>Патина, эффекты (Жемчуг, Перламутр, Звездное небо)</t>
  </si>
  <si>
    <t>R300, R242, S450, S900</t>
  </si>
  <si>
    <r>
      <t xml:space="preserve">Турин, Турин 3, Турин 4,Палермо, Миф, Крокко, Фриз, Кредо, Мозаика, </t>
    </r>
    <r>
      <rPr>
        <b/>
        <sz val="24"/>
        <color theme="1"/>
        <rFont val="Times New Roman"/>
        <family val="1"/>
        <charset val="204"/>
      </rPr>
      <t>Шоколад**</t>
    </r>
    <r>
      <rPr>
        <sz val="24"/>
        <color theme="1"/>
        <rFont val="Times New Roman"/>
        <family val="1"/>
        <charset val="204"/>
      </rPr>
      <t>, Каприз, Арта, ,Малибу, Малибу New, Уно</t>
    </r>
  </si>
  <si>
    <t>Стоимость радиусных фасадов (цена указана за 1 м2).</t>
  </si>
  <si>
    <t xml:space="preserve">    Стоимость радиусных фасадов (цена указана за 1 м2).</t>
  </si>
  <si>
    <t>Стоимость фасадов (цена указана за 1 м2).</t>
  </si>
  <si>
    <t xml:space="preserve">Стоимость фасадов (цена указана за 1 м2). </t>
  </si>
  <si>
    <t>МДФ 25мм</t>
  </si>
  <si>
    <t>ПРИМЕР РАСЧЕТА ПЛОЩАДИ ФАСАДА</t>
  </si>
  <si>
    <t xml:space="preserve"> Панель 2R258/242,  Хб 450, Н 2400, 0/1</t>
  </si>
  <si>
    <t>Панель 2R258/242/16,  Хб 900, Н 2400, 0/1</t>
  </si>
  <si>
    <t>Панель R1000/16,  Хб 1123, Н 2400, 0/1(кашир с 1 стороны выпуклая)</t>
  </si>
  <si>
    <t>Панель R1000/16,  Хб 1123, Н 2400, 1/0(кашир с 1 стороны вогнутая)</t>
  </si>
  <si>
    <t>Панель R1000/18,  Хб 1123, Н 2400, 0/1(кашир с 1 стороны выпуклая)</t>
  </si>
  <si>
    <t>Панель R1783/16,  Хб 2226, Н 1150, 0/1(кашир с 1 стороны выпуклая)</t>
  </si>
  <si>
    <t>Панель R242/16,  Хб 496, Н 2400, 0/1 (каш. с 1-й стор. выпуклая)</t>
  </si>
  <si>
    <t>Панель R242/16,  Хб 496, Н 2400, 1/0 (каш. с 1-й строны вогнутая)</t>
  </si>
  <si>
    <t>Панель R242/16,  Хб 496, Н 2400, 1/1 (каш. с 2х строн)</t>
  </si>
  <si>
    <t>Панель R242/18,  Хб 496, Н 2400, 0/1(кашир. с 1-й стороны выпуклая)</t>
  </si>
  <si>
    <t xml:space="preserve"> Панель R242/18,  Хб 496, Н 2400, 1/0(кашир. с 1-й стороны вогнутая)</t>
  </si>
  <si>
    <t xml:space="preserve">Панель R300/16  Хб 508, Н 2400, 0/1 (кашир.с 1 стороны выпуклая) </t>
  </si>
  <si>
    <t>Панель R600/16,  Хб 991, Н 2400, 1/0 (кашир. с 1-й стороны вогнутая)</t>
  </si>
  <si>
    <t>Панель R600/16,  Хб 1014, Н 2400, 0/1 (кашир. с 1-й стороны, выпуклая)</t>
  </si>
  <si>
    <t>Панель R600/18,  Хб 991, Н 2400, 1/0 (кашир. с 1-й стороны вогнутая)</t>
  </si>
  <si>
    <t>Панель R450/18,  Хб 550, Н 2400, 1/0 (кашир. с 1-й стороны вогнутая)</t>
  </si>
  <si>
    <t>Панель R450/18,  Хб 550, Н 2400, 0/1 ( кашир. с 1-й стороны выпуклая)</t>
  </si>
  <si>
    <t>Панель R450/16,  Хб 550, Н 2400, 1/0 (кашир. с 1-й стороны вогнутая)</t>
  </si>
  <si>
    <t>Панель R450/16,  Хб 550, Н 2400, 0/1 (кашир. с 1-й стороны выпуклая)</t>
  </si>
  <si>
    <t>Панель R300/18,  Хб 508, Н 2400, 1/1 (кашир.с двух сторон)</t>
  </si>
  <si>
    <t>Панель R300/18,  Хб 508, Н 2400, 1/0 (кашир с 1-й стороны вогнутая)</t>
  </si>
  <si>
    <t>Панель R300/18,  Хб 508, Н 2400, 0/1 (кашир с 1-й стороны выпуклая.)</t>
  </si>
  <si>
    <t>Панель R300/16,  Хб 508, Н 2400, 1/1 (кашир. с 2-х сторон)</t>
  </si>
  <si>
    <t>Панель R300/16,  Хб 508, Н 2400, 1/0 (кашир. с 1 стороны ,вогнутая)</t>
  </si>
  <si>
    <t>900х80</t>
  </si>
  <si>
    <t>Карниз верхний большой №12</t>
  </si>
  <si>
    <t>900х109</t>
  </si>
  <si>
    <t>Карниз верхний малый №11</t>
  </si>
  <si>
    <t>2700х80</t>
  </si>
  <si>
    <t>2700х109</t>
  </si>
  <si>
    <t>Карниз верхний малый №11 радиусный</t>
  </si>
  <si>
    <t xml:space="preserve">471х80 </t>
  </si>
  <si>
    <t>Карниз верхний большой №12 радиусный</t>
  </si>
  <si>
    <t>471х109</t>
  </si>
  <si>
    <t>Интегра 3,4,5</t>
  </si>
  <si>
    <t>Бьянка, Венеция**, Флоренция**, Кантри, Викинг**</t>
  </si>
  <si>
    <t xml:space="preserve">МДФ 25 мм </t>
  </si>
  <si>
    <t>Делия</t>
  </si>
  <si>
    <t>Арка, Арка двойная, Аркада, Британь, Британь 2, Верона, Квадро, Классик, Классик двойной, Крокко, Корсика, Лжевыборка, Лорис, Милан, Миф, Моцарт, Муза, Муза вензель, Муза решётка, Мурано, Мурано2, Неаполь**, Прямоугольник, Рим**, Скиф, Соло, Танго, Мадрид, Мозаика, Палермо,Уно, Цезарь, Цезарь3, Цезарь4, Турин, Турин3, Турин4, Гановер, Гановер 3, Гановер 4, Кельн, Трир, Берген, Капелла</t>
  </si>
  <si>
    <t>Прямоугольник Премиум, Британь Премиум, Британь2 Премиум, Мурано1 Премиум, Мурано2 Премиум, Цезарь Премиум, Викинг</t>
  </si>
  <si>
    <t xml:space="preserve"> 28.04.12.2020</t>
  </si>
  <si>
    <t>По состоянию на  28.04.12.2020</t>
  </si>
  <si>
    <t>По состоянию на 28.04.2021</t>
  </si>
  <si>
    <t>+2 500 руб/кв.м.                                                                                                              (РЕКОМЕНДУЕТСЯ ДЛЯ ПЛЕНОК СКЛОННЫХ К ПОЯВЛЕНЮ ЦАРАПИН)</t>
  </si>
  <si>
    <t>+2 500 руб/кв.м.- без рисунка; +2900руб/кв.м. - фрезерованные                                                   (КРОМЕ ГЛЯНЦЕВЫХ ПЛЕНОК)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</si>
</sst>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_р_."/>
    <numFmt numFmtId="166" formatCode="#,##0.00&quot; руб.&quot;"/>
  </numFmts>
  <fonts count="73" x14ac:knownFonts="1">
    <font>
      <sz val="11"/>
      <color theme="1"/>
      <name val="Calibri"/>
      <family val="2"/>
      <charset val="204"/>
      <scheme val="minor"/>
    </font>
    <font>
      <b/>
      <i/>
      <sz val="18"/>
      <name val="Times New Roman"/>
      <family val="1"/>
      <charset val="204"/>
    </font>
    <font>
      <b/>
      <sz val="22"/>
      <name val="Arial"/>
      <family val="2"/>
      <charset val="204"/>
    </font>
    <font>
      <sz val="10"/>
      <name val="Arial"/>
      <family val="2"/>
      <charset val="204"/>
    </font>
    <font>
      <sz val="18"/>
      <name val="Arial"/>
      <family val="2"/>
      <charset val="204"/>
    </font>
    <font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18"/>
      <color indexed="12"/>
      <name val="Arial"/>
      <family val="2"/>
      <charset val="204"/>
    </font>
    <font>
      <sz val="22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name val="Arial"/>
      <family val="2"/>
      <charset val="204"/>
    </font>
    <font>
      <b/>
      <sz val="16"/>
      <color indexed="8"/>
      <name val="Calibri"/>
      <family val="2"/>
      <charset val="204"/>
    </font>
    <font>
      <sz val="8"/>
      <name val="Arial"/>
      <family val="2"/>
      <charset val="204"/>
    </font>
    <font>
      <b/>
      <sz val="35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22"/>
      <color rgb="FFC00000"/>
      <name val="Times New Roman"/>
      <family val="1"/>
      <charset val="204"/>
    </font>
    <font>
      <b/>
      <sz val="12"/>
      <color rgb="FFFF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name val="Arial"/>
      <family val="2"/>
    </font>
    <font>
      <sz val="22"/>
      <color theme="1"/>
      <name val="Calibri"/>
      <family val="2"/>
      <charset val="204"/>
      <scheme val="minor"/>
    </font>
    <font>
      <sz val="13"/>
      <name val="Verdana"/>
      <family val="2"/>
      <charset val="204"/>
    </font>
    <font>
      <sz val="13"/>
      <color theme="1"/>
      <name val="Verdana"/>
      <family val="2"/>
      <charset val="204"/>
    </font>
    <font>
      <sz val="12"/>
      <name val="Verdana"/>
      <family val="2"/>
      <charset val="204"/>
    </font>
    <font>
      <sz val="12"/>
      <color theme="1"/>
      <name val="Verdana"/>
      <family val="2"/>
      <charset val="204"/>
    </font>
    <font>
      <sz val="16"/>
      <color theme="1"/>
      <name val="Verdana"/>
      <family val="2"/>
      <charset val="204"/>
    </font>
    <font>
      <b/>
      <sz val="16"/>
      <color indexed="8"/>
      <name val="Verdana"/>
      <family val="2"/>
      <charset val="204"/>
    </font>
    <font>
      <sz val="14"/>
      <color theme="1"/>
      <name val="Verdana"/>
      <family val="2"/>
      <charset val="204"/>
    </font>
    <font>
      <b/>
      <sz val="9"/>
      <color rgb="FFFF0000"/>
      <name val="Arial"/>
      <family val="2"/>
      <charset val="204"/>
    </font>
    <font>
      <sz val="24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sz val="24"/>
      <color rgb="FFFF0000"/>
      <name val="Times New Roman"/>
      <family val="1"/>
      <charset val="204"/>
    </font>
    <font>
      <sz val="22"/>
      <name val="Arial"/>
      <family val="2"/>
      <charset val="204"/>
    </font>
    <font>
      <u/>
      <sz val="22"/>
      <color indexed="12"/>
      <name val="Arial"/>
      <family val="2"/>
      <charset val="204"/>
    </font>
    <font>
      <b/>
      <sz val="24"/>
      <color rgb="FF000000"/>
      <name val="Times New Roman"/>
      <family val="1"/>
      <charset val="204"/>
    </font>
    <font>
      <sz val="24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24"/>
      <color theme="1"/>
      <name val="Calibri"/>
      <family val="2"/>
      <charset val="204"/>
      <scheme val="minor"/>
    </font>
    <font>
      <b/>
      <sz val="24"/>
      <color rgb="FFC00000"/>
      <name val="Times New Roman"/>
      <family val="1"/>
      <charset val="204"/>
    </font>
    <font>
      <u/>
      <sz val="22"/>
      <color indexed="12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u/>
      <sz val="2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6"/>
      <name val="Times New Roman"/>
      <family val="1"/>
      <charset val="204"/>
    </font>
    <font>
      <sz val="22"/>
      <color indexed="8"/>
      <name val="Times New Roman"/>
      <family val="1"/>
      <charset val="204"/>
    </font>
    <font>
      <sz val="26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24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26"/>
      <color indexed="8"/>
      <name val="Times New Roman"/>
      <family val="1"/>
      <charset val="204"/>
    </font>
    <font>
      <sz val="26"/>
      <color indexed="8"/>
      <name val="Times New Roman"/>
      <family val="1"/>
      <charset val="204"/>
    </font>
    <font>
      <i/>
      <sz val="22"/>
      <color theme="1"/>
      <name val="Times New Roman"/>
      <family val="1"/>
      <charset val="204"/>
    </font>
    <font>
      <b/>
      <sz val="22"/>
      <color theme="1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b/>
      <sz val="36"/>
      <name val="Times New Roman"/>
      <family val="1"/>
      <charset val="204"/>
    </font>
    <font>
      <b/>
      <sz val="28"/>
      <name val="Times New Roman"/>
      <family val="1"/>
      <charset val="204"/>
    </font>
    <font>
      <b/>
      <sz val="28"/>
      <color indexed="8"/>
      <name val="Times New Roman"/>
      <family val="1"/>
      <charset val="204"/>
    </font>
    <font>
      <b/>
      <sz val="28"/>
      <color rgb="FFFF0000"/>
      <name val="Times New Roman"/>
      <family val="1"/>
      <charset val="204"/>
    </font>
    <font>
      <sz val="24"/>
      <color rgb="FFFF0000"/>
      <name val="Times New Roman"/>
      <family val="1"/>
      <charset val="204"/>
    </font>
    <font>
      <sz val="28"/>
      <name val="Times New Roman"/>
      <family val="1"/>
      <charset val="204"/>
    </font>
    <font>
      <sz val="16"/>
      <name val="Times New Roman"/>
      <family val="1"/>
      <charset val="204"/>
    </font>
    <font>
      <sz val="20"/>
      <color rgb="FFFF0000"/>
      <name val="Times New Roman"/>
      <family val="1"/>
      <charset val="204"/>
    </font>
    <font>
      <sz val="22"/>
      <color rgb="FFFF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</borders>
  <cellStyleXfs count="7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21" fillId="0" borderId="0">
      <alignment horizontal="left"/>
    </xf>
    <xf numFmtId="0" fontId="27" fillId="0" borderId="0"/>
    <xf numFmtId="0" fontId="27" fillId="0" borderId="0"/>
    <xf numFmtId="0" fontId="57" fillId="0" borderId="0"/>
    <xf numFmtId="0" fontId="27" fillId="0" borderId="0"/>
  </cellStyleXfs>
  <cellXfs count="575">
    <xf numFmtId="0" fontId="0" fillId="0" borderId="0" xfId="0"/>
    <xf numFmtId="0" fontId="3" fillId="0" borderId="0" xfId="0" applyFont="1"/>
    <xf numFmtId="0" fontId="9" fillId="0" borderId="9" xfId="0" applyFont="1" applyBorder="1"/>
    <xf numFmtId="0" fontId="5" fillId="0" borderId="0" xfId="0" applyFont="1"/>
    <xf numFmtId="0" fontId="17" fillId="0" borderId="9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0" fillId="0" borderId="0" xfId="0" applyBorder="1"/>
    <xf numFmtId="0" fontId="12" fillId="0" borderId="29" xfId="0" applyFont="1" applyBorder="1" applyAlignment="1">
      <alignment horizontal="center" vertical="center" wrapText="1"/>
    </xf>
    <xf numFmtId="0" fontId="2" fillId="0" borderId="0" xfId="0" applyFont="1" applyBorder="1" applyAlignment="1"/>
    <xf numFmtId="165" fontId="0" fillId="0" borderId="0" xfId="0" applyNumberFormat="1"/>
    <xf numFmtId="165" fontId="20" fillId="0" borderId="0" xfId="0" applyNumberFormat="1" applyFont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1" fillId="0" borderId="53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9" fillId="0" borderId="16" xfId="0" applyFont="1" applyBorder="1"/>
    <xf numFmtId="0" fontId="11" fillId="0" borderId="20" xfId="0" applyFont="1" applyBorder="1" applyAlignment="1">
      <alignment horizontal="center" vertical="center"/>
    </xf>
    <xf numFmtId="0" fontId="9" fillId="0" borderId="26" xfId="0" applyFont="1" applyBorder="1"/>
    <xf numFmtId="0" fontId="0" fillId="0" borderId="0" xfId="0" applyAlignment="1"/>
    <xf numFmtId="0" fontId="20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 wrapText="1"/>
    </xf>
    <xf numFmtId="165" fontId="29" fillId="0" borderId="9" xfId="2" applyNumberFormat="1" applyFont="1" applyBorder="1" applyAlignment="1">
      <alignment horizontal="right" vertical="center" wrapText="1"/>
    </xf>
    <xf numFmtId="164" fontId="29" fillId="0" borderId="9" xfId="2" applyNumberFormat="1" applyFont="1" applyBorder="1" applyAlignment="1">
      <alignment horizontal="right" vertical="top" wrapText="1"/>
    </xf>
    <xf numFmtId="0" fontId="29" fillId="0" borderId="9" xfId="2" applyFont="1" applyBorder="1" applyAlignment="1">
      <alignment horizontal="left" vertical="center" wrapText="1"/>
    </xf>
    <xf numFmtId="0" fontId="30" fillId="0" borderId="9" xfId="0" applyFont="1" applyBorder="1" applyAlignment="1">
      <alignment horizontal="center" vertical="center"/>
    </xf>
    <xf numFmtId="0" fontId="29" fillId="3" borderId="9" xfId="4" applyNumberFormat="1" applyFont="1" applyFill="1" applyBorder="1" applyAlignment="1">
      <alignment horizontal="left" vertical="center" wrapText="1"/>
    </xf>
    <xf numFmtId="2" fontId="29" fillId="0" borderId="9" xfId="2" applyNumberFormat="1" applyFont="1" applyBorder="1" applyAlignment="1">
      <alignment vertical="center" wrapText="1"/>
    </xf>
    <xf numFmtId="0" fontId="30" fillId="0" borderId="9" xfId="0" applyFont="1" applyBorder="1" applyAlignment="1">
      <alignment vertical="top" wrapText="1"/>
    </xf>
    <xf numFmtId="2" fontId="29" fillId="0" borderId="9" xfId="2" applyNumberFormat="1" applyFont="1" applyBorder="1" applyAlignment="1">
      <alignment vertical="top" wrapText="1"/>
    </xf>
    <xf numFmtId="0" fontId="33" fillId="0" borderId="0" xfId="0" applyFont="1"/>
    <xf numFmtId="0" fontId="34" fillId="0" borderId="0" xfId="0" applyFont="1" applyAlignment="1">
      <alignment horizontal="center"/>
    </xf>
    <xf numFmtId="0" fontId="35" fillId="0" borderId="0" xfId="0" applyFont="1"/>
    <xf numFmtId="0" fontId="10" fillId="2" borderId="26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7" fillId="0" borderId="10" xfId="0" applyFont="1" applyBorder="1"/>
    <xf numFmtId="0" fontId="37" fillId="0" borderId="12" xfId="0" applyFont="1" applyBorder="1" applyAlignment="1"/>
    <xf numFmtId="0" fontId="37" fillId="0" borderId="19" xfId="0" applyFont="1" applyBorder="1"/>
    <xf numFmtId="0" fontId="37" fillId="0" borderId="41" xfId="0" applyFont="1" applyBorder="1"/>
    <xf numFmtId="0" fontId="41" fillId="0" borderId="0" xfId="0" applyFont="1" applyBorder="1" applyAlignment="1"/>
    <xf numFmtId="0" fontId="0" fillId="0" borderId="0" xfId="0" applyBorder="1" applyAlignment="1">
      <alignment horizontal="center" wrapText="1" shrinkToFit="1"/>
    </xf>
    <xf numFmtId="0" fontId="0" fillId="0" borderId="0" xfId="0" applyAlignment="1">
      <alignment horizontal="center" wrapText="1" shrinkToFit="1"/>
    </xf>
    <xf numFmtId="0" fontId="12" fillId="0" borderId="29" xfId="0" applyFont="1" applyBorder="1" applyAlignment="1">
      <alignment horizontal="center" vertical="center" wrapText="1" shrinkToFit="1"/>
    </xf>
    <xf numFmtId="0" fontId="12" fillId="0" borderId="34" xfId="0" applyFont="1" applyBorder="1" applyAlignment="1">
      <alignment horizontal="center" vertical="center" wrapText="1"/>
    </xf>
    <xf numFmtId="0" fontId="14" fillId="0" borderId="48" xfId="0" applyFont="1" applyBorder="1"/>
    <xf numFmtId="0" fontId="18" fillId="0" borderId="0" xfId="0" applyFont="1"/>
    <xf numFmtId="0" fontId="9" fillId="0" borderId="0" xfId="0" applyFont="1" applyBorder="1" applyAlignment="1"/>
    <xf numFmtId="0" fontId="9" fillId="0" borderId="47" xfId="0" applyFont="1" applyBorder="1" applyAlignment="1">
      <alignment horizontal="center"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50" fillId="0" borderId="0" xfId="0" applyFont="1"/>
    <xf numFmtId="0" fontId="28" fillId="0" borderId="0" xfId="0" applyFont="1"/>
    <xf numFmtId="0" fontId="45" fillId="0" borderId="0" xfId="0" applyFont="1" applyAlignment="1"/>
    <xf numFmtId="0" fontId="11" fillId="0" borderId="41" xfId="0" applyFont="1" applyBorder="1" applyAlignment="1">
      <alignment horizontal="center" vertical="center" wrapText="1"/>
    </xf>
    <xf numFmtId="0" fontId="0" fillId="0" borderId="0" xfId="0" applyAlignment="1"/>
    <xf numFmtId="0" fontId="39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25" fillId="0" borderId="0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left" vertical="center" wrapText="1"/>
    </xf>
    <xf numFmtId="0" fontId="39" fillId="0" borderId="0" xfId="0" applyFont="1" applyAlignment="1"/>
    <xf numFmtId="0" fontId="6" fillId="0" borderId="9" xfId="0" applyFont="1" applyBorder="1" applyAlignment="1">
      <alignment horizontal="center" vertical="center" wrapText="1"/>
    </xf>
    <xf numFmtId="0" fontId="5" fillId="0" borderId="0" xfId="0" applyFont="1" applyAlignment="1"/>
    <xf numFmtId="0" fontId="0" fillId="0" borderId="0" xfId="0" applyBorder="1"/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horizontal="center"/>
    </xf>
    <xf numFmtId="0" fontId="44" fillId="0" borderId="0" xfId="0" applyFont="1" applyAlignment="1">
      <alignment horizontal="center" wrapText="1" shrinkToFit="1"/>
    </xf>
    <xf numFmtId="0" fontId="44" fillId="0" borderId="0" xfId="0" applyFont="1" applyAlignment="1">
      <alignment wrapText="1" shrinkToFi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9" xfId="0" applyFont="1" applyFill="1" applyBorder="1" applyAlignment="1">
      <alignment horizontal="center" vertical="center" wrapText="1"/>
    </xf>
    <xf numFmtId="0" fontId="5" fillId="0" borderId="0" xfId="0" applyFont="1" applyBorder="1"/>
    <xf numFmtId="0" fontId="5" fillId="0" borderId="0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 shrinkToFit="1"/>
    </xf>
    <xf numFmtId="0" fontId="6" fillId="0" borderId="16" xfId="0" applyFont="1" applyBorder="1" applyAlignment="1">
      <alignment vertical="center" wrapText="1"/>
    </xf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vertical="center"/>
    </xf>
    <xf numFmtId="0" fontId="53" fillId="3" borderId="0" xfId="3" applyNumberFormat="1" applyFont="1" applyFill="1" applyBorder="1" applyAlignment="1">
      <alignment horizontal="left" vertical="top"/>
    </xf>
    <xf numFmtId="0" fontId="5" fillId="0" borderId="9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26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/>
    </xf>
    <xf numFmtId="0" fontId="5" fillId="0" borderId="26" xfId="0" applyFont="1" applyBorder="1" applyAlignment="1">
      <alignment horizontal="center" vertical="center"/>
    </xf>
    <xf numFmtId="0" fontId="5" fillId="0" borderId="26" xfId="0" applyFont="1" applyBorder="1"/>
    <xf numFmtId="0" fontId="5" fillId="0" borderId="27" xfId="0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45" fillId="0" borderId="0" xfId="0" applyFont="1" applyBorder="1" applyAlignment="1">
      <alignment horizontal="center" wrapText="1" shrinkToFit="1"/>
    </xf>
    <xf numFmtId="0" fontId="47" fillId="0" borderId="0" xfId="0" applyFont="1" applyBorder="1" applyAlignment="1">
      <alignment horizontal="center" wrapText="1"/>
    </xf>
    <xf numFmtId="0" fontId="45" fillId="0" borderId="0" xfId="0" applyFont="1" applyBorder="1" applyAlignment="1">
      <alignment horizontal="center" wrapText="1"/>
    </xf>
    <xf numFmtId="0" fontId="44" fillId="0" borderId="0" xfId="0" applyFont="1" applyBorder="1" applyAlignment="1">
      <alignment horizontal="center" wrapText="1"/>
    </xf>
    <xf numFmtId="0" fontId="44" fillId="0" borderId="0" xfId="0" applyFont="1" applyBorder="1" applyAlignment="1">
      <alignment horizontal="center"/>
    </xf>
    <xf numFmtId="0" fontId="0" fillId="0" borderId="0" xfId="0" applyBorder="1"/>
    <xf numFmtId="0" fontId="39" fillId="0" borderId="0" xfId="0" applyFont="1" applyAlignment="1">
      <alignment horizontal="center"/>
    </xf>
    <xf numFmtId="0" fontId="49" fillId="0" borderId="0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/>
    </xf>
    <xf numFmtId="0" fontId="5" fillId="0" borderId="50" xfId="0" applyFont="1" applyBorder="1" applyAlignment="1">
      <alignment horizontal="center"/>
    </xf>
    <xf numFmtId="0" fontId="5" fillId="0" borderId="58" xfId="0" applyFont="1" applyBorder="1" applyAlignment="1">
      <alignment horizontal="center" wrapText="1"/>
    </xf>
    <xf numFmtId="0" fontId="5" fillId="0" borderId="59" xfId="0" applyFont="1" applyBorder="1" applyAlignment="1">
      <alignment horizontal="center" wrapText="1"/>
    </xf>
    <xf numFmtId="0" fontId="5" fillId="0" borderId="66" xfId="0" applyFont="1" applyBorder="1" applyAlignment="1">
      <alignment horizontal="center" wrapText="1"/>
    </xf>
    <xf numFmtId="0" fontId="5" fillId="0" borderId="60" xfId="0" applyFont="1" applyBorder="1" applyAlignment="1">
      <alignment horizontal="center" wrapText="1"/>
    </xf>
    <xf numFmtId="0" fontId="5" fillId="0" borderId="33" xfId="0" applyFont="1" applyBorder="1" applyAlignment="1">
      <alignment horizontal="center"/>
    </xf>
    <xf numFmtId="0" fontId="5" fillId="0" borderId="40" xfId="0" applyFont="1" applyBorder="1" applyAlignment="1"/>
    <xf numFmtId="0" fontId="5" fillId="0" borderId="0" xfId="0" applyFont="1" applyBorder="1" applyAlignment="1"/>
    <xf numFmtId="0" fontId="5" fillId="0" borderId="9" xfId="0" applyFont="1" applyBorder="1" applyAlignment="1">
      <alignment horizontal="center" wrapText="1" shrinkToFit="1"/>
    </xf>
    <xf numFmtId="0" fontId="5" fillId="0" borderId="9" xfId="0" applyFont="1" applyBorder="1" applyAlignment="1">
      <alignment horizontal="center" vertical="center" wrapText="1" shrinkToFit="1"/>
    </xf>
    <xf numFmtId="0" fontId="6" fillId="0" borderId="9" xfId="0" applyFont="1" applyBorder="1" applyAlignment="1">
      <alignment horizontal="center" vertical="center" wrapText="1"/>
    </xf>
    <xf numFmtId="0" fontId="5" fillId="0" borderId="9" xfId="0" applyFont="1" applyBorder="1"/>
    <xf numFmtId="0" fontId="6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18" fillId="0" borderId="0" xfId="0" applyFont="1" applyBorder="1"/>
    <xf numFmtId="0" fontId="18" fillId="0" borderId="0" xfId="0" applyFont="1" applyBorder="1" applyAlignment="1">
      <alignment wrapText="1"/>
    </xf>
    <xf numFmtId="0" fontId="49" fillId="0" borderId="0" xfId="0" applyFont="1" applyBorder="1" applyAlignment="1">
      <alignment vertical="center" wrapText="1"/>
    </xf>
    <xf numFmtId="0" fontId="5" fillId="0" borderId="0" xfId="0" applyFont="1" applyAlignment="1">
      <alignment horizontal="left" wrapText="1"/>
    </xf>
    <xf numFmtId="0" fontId="46" fillId="0" borderId="0" xfId="0" applyFont="1" applyAlignment="1">
      <alignment horizontal="left"/>
    </xf>
    <xf numFmtId="0" fontId="5" fillId="0" borderId="9" xfId="0" applyFont="1" applyBorder="1" applyAlignment="1">
      <alignment horizontal="left" vertical="center"/>
    </xf>
    <xf numFmtId="0" fontId="5" fillId="0" borderId="9" xfId="0" applyFont="1" applyBorder="1" applyAlignment="1">
      <alignment horizontal="justify" vertical="center"/>
    </xf>
    <xf numFmtId="0" fontId="60" fillId="0" borderId="9" xfId="0" applyFont="1" applyBorder="1" applyAlignment="1">
      <alignment horizontal="left" vertical="top"/>
    </xf>
    <xf numFmtId="0" fontId="5" fillId="0" borderId="9" xfId="0" applyFont="1" applyBorder="1" applyAlignment="1">
      <alignment horizontal="justify" vertical="top"/>
    </xf>
    <xf numFmtId="0" fontId="5" fillId="0" borderId="9" xfId="0" applyFont="1" applyFill="1" applyBorder="1" applyAlignment="1">
      <alignment horizontal="centerContinuous" vertical="distributed"/>
    </xf>
    <xf numFmtId="0" fontId="6" fillId="0" borderId="9" xfId="0" applyFont="1" applyBorder="1" applyAlignment="1">
      <alignment horizontal="center" vertical="distributed"/>
    </xf>
    <xf numFmtId="0" fontId="5" fillId="0" borderId="9" xfId="0" applyFont="1" applyFill="1" applyBorder="1" applyAlignment="1">
      <alignment horizontal="center" vertical="distributed"/>
    </xf>
    <xf numFmtId="0" fontId="17" fillId="0" borderId="0" xfId="0" applyFont="1" applyAlignment="1">
      <alignment horizontal="left" vertical="center"/>
    </xf>
    <xf numFmtId="0" fontId="17" fillId="0" borderId="0" xfId="0" applyFont="1"/>
    <xf numFmtId="0" fontId="17" fillId="0" borderId="0" xfId="0" applyFont="1" applyAlignment="1">
      <alignment horizontal="center" vertical="center"/>
    </xf>
    <xf numFmtId="0" fontId="17" fillId="0" borderId="9" xfId="0" applyFont="1" applyBorder="1" applyAlignment="1">
      <alignment horizontal="center"/>
    </xf>
    <xf numFmtId="0" fontId="17" fillId="0" borderId="9" xfId="0" applyFont="1" applyBorder="1"/>
    <xf numFmtId="0" fontId="5" fillId="0" borderId="9" xfId="0" applyFont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/>
    </xf>
    <xf numFmtId="0" fontId="6" fillId="0" borderId="9" xfId="0" applyFont="1" applyBorder="1" applyAlignment="1">
      <alignment horizontal="center" vertical="center" wrapText="1"/>
    </xf>
    <xf numFmtId="0" fontId="64" fillId="0" borderId="9" xfId="0" applyFont="1" applyBorder="1" applyAlignment="1">
      <alignment horizontal="center" vertical="center" wrapText="1"/>
    </xf>
    <xf numFmtId="0" fontId="64" fillId="0" borderId="9" xfId="0" applyFont="1" applyFill="1" applyBorder="1" applyAlignment="1">
      <alignment horizontal="center" vertical="center"/>
    </xf>
    <xf numFmtId="0" fontId="37" fillId="0" borderId="19" xfId="0" applyFont="1" applyFill="1" applyBorder="1" applyAlignment="1">
      <alignment horizontal="left"/>
    </xf>
    <xf numFmtId="0" fontId="65" fillId="0" borderId="36" xfId="0" applyFont="1" applyBorder="1" applyAlignment="1">
      <alignment vertical="center"/>
    </xf>
    <xf numFmtId="0" fontId="65" fillId="0" borderId="28" xfId="0" applyFont="1" applyBorder="1" applyAlignment="1">
      <alignment vertical="center"/>
    </xf>
    <xf numFmtId="0" fontId="65" fillId="0" borderId="30" xfId="0" applyFont="1" applyBorder="1" applyAlignment="1">
      <alignment vertical="center"/>
    </xf>
    <xf numFmtId="0" fontId="65" fillId="3" borderId="30" xfId="0" applyFont="1" applyFill="1" applyBorder="1" applyAlignment="1">
      <alignment vertical="center"/>
    </xf>
    <xf numFmtId="0" fontId="65" fillId="3" borderId="36" xfId="0" applyFont="1" applyFill="1" applyBorder="1" applyAlignment="1">
      <alignment vertical="center"/>
    </xf>
    <xf numFmtId="0" fontId="65" fillId="3" borderId="9" xfId="0" applyFont="1" applyFill="1" applyBorder="1" applyAlignment="1">
      <alignment vertical="center"/>
    </xf>
    <xf numFmtId="0" fontId="65" fillId="0" borderId="20" xfId="0" applyFont="1" applyFill="1" applyBorder="1" applyAlignment="1">
      <alignment horizontal="right"/>
    </xf>
    <xf numFmtId="0" fontId="65" fillId="0" borderId="16" xfId="0" applyFont="1" applyFill="1" applyBorder="1" applyAlignment="1">
      <alignment horizontal="right"/>
    </xf>
    <xf numFmtId="0" fontId="65" fillId="0" borderId="11" xfId="0" applyFont="1" applyBorder="1"/>
    <xf numFmtId="0" fontId="65" fillId="0" borderId="10" xfId="0" applyFont="1" applyBorder="1"/>
    <xf numFmtId="0" fontId="65" fillId="3" borderId="9" xfId="0" applyFont="1" applyFill="1" applyBorder="1"/>
    <xf numFmtId="0" fontId="65" fillId="3" borderId="11" xfId="0" applyFont="1" applyFill="1" applyBorder="1"/>
    <xf numFmtId="0" fontId="65" fillId="0" borderId="55" xfId="0" applyFont="1" applyBorder="1" applyAlignment="1"/>
    <xf numFmtId="0" fontId="65" fillId="0" borderId="12" xfId="0" applyFont="1" applyBorder="1" applyAlignment="1"/>
    <xf numFmtId="0" fontId="65" fillId="3" borderId="13" xfId="0" applyFont="1" applyFill="1" applyBorder="1" applyAlignment="1"/>
    <xf numFmtId="0" fontId="65" fillId="3" borderId="55" xfId="0" applyFont="1" applyFill="1" applyBorder="1" applyAlignment="1"/>
    <xf numFmtId="0" fontId="65" fillId="3" borderId="9" xfId="0" applyFont="1" applyFill="1" applyBorder="1" applyAlignment="1"/>
    <xf numFmtId="0" fontId="65" fillId="0" borderId="20" xfId="0" applyFont="1" applyBorder="1"/>
    <xf numFmtId="0" fontId="65" fillId="0" borderId="19" xfId="0" applyFont="1" applyBorder="1"/>
    <xf numFmtId="0" fontId="65" fillId="3" borderId="16" xfId="0" applyFont="1" applyFill="1" applyBorder="1"/>
    <xf numFmtId="0" fontId="65" fillId="3" borderId="20" xfId="0" applyFont="1" applyFill="1" applyBorder="1"/>
    <xf numFmtId="0" fontId="65" fillId="3" borderId="26" xfId="0" applyFont="1" applyFill="1" applyBorder="1"/>
    <xf numFmtId="0" fontId="65" fillId="0" borderId="52" xfId="0" applyFont="1" applyBorder="1"/>
    <xf numFmtId="0" fontId="65" fillId="0" borderId="41" xfId="0" applyFont="1" applyBorder="1"/>
    <xf numFmtId="0" fontId="65" fillId="3" borderId="29" xfId="0" applyFont="1" applyFill="1" applyBorder="1"/>
    <xf numFmtId="0" fontId="65" fillId="0" borderId="9" xfId="0" applyFont="1" applyBorder="1"/>
    <xf numFmtId="0" fontId="65" fillId="0" borderId="56" xfId="0" applyFont="1" applyBorder="1"/>
    <xf numFmtId="0" fontId="65" fillId="0" borderId="48" xfId="0" applyFont="1" applyBorder="1"/>
    <xf numFmtId="0" fontId="65" fillId="3" borderId="49" xfId="0" applyFont="1" applyFill="1" applyBorder="1"/>
    <xf numFmtId="0" fontId="65" fillId="3" borderId="15" xfId="0" applyFont="1" applyFill="1" applyBorder="1"/>
    <xf numFmtId="0" fontId="18" fillId="0" borderId="0" xfId="0" applyFont="1" applyBorder="1"/>
    <xf numFmtId="0" fontId="55" fillId="0" borderId="9" xfId="0" applyFont="1" applyBorder="1" applyAlignment="1">
      <alignment horizontal="center" vertical="center"/>
    </xf>
    <xf numFmtId="0" fontId="64" fillId="0" borderId="45" xfId="0" applyFont="1" applyBorder="1" applyAlignment="1">
      <alignment horizontal="center"/>
    </xf>
    <xf numFmtId="0" fontId="64" fillId="0" borderId="29" xfId="0" applyFont="1" applyBorder="1" applyAlignment="1">
      <alignment horizontal="center"/>
    </xf>
    <xf numFmtId="0" fontId="64" fillId="0" borderId="52" xfId="0" applyFont="1" applyBorder="1" applyAlignment="1">
      <alignment horizontal="center"/>
    </xf>
    <xf numFmtId="0" fontId="64" fillId="0" borderId="34" xfId="0" applyFont="1" applyFill="1" applyBorder="1" applyAlignment="1">
      <alignment horizontal="center"/>
    </xf>
    <xf numFmtId="0" fontId="64" fillId="0" borderId="24" xfId="0" applyFont="1" applyBorder="1" applyAlignment="1">
      <alignment horizontal="center"/>
    </xf>
    <xf numFmtId="0" fontId="64" fillId="0" borderId="9" xfId="0" applyFont="1" applyBorder="1" applyAlignment="1">
      <alignment horizontal="center"/>
    </xf>
    <xf numFmtId="0" fontId="64" fillId="0" borderId="11" xfId="0" applyFont="1" applyBorder="1" applyAlignment="1">
      <alignment horizontal="center"/>
    </xf>
    <xf numFmtId="0" fontId="64" fillId="0" borderId="42" xfId="0" applyFont="1" applyFill="1" applyBorder="1" applyAlignment="1">
      <alignment horizontal="center"/>
    </xf>
    <xf numFmtId="0" fontId="64" fillId="0" borderId="31" xfId="0" applyFont="1" applyBorder="1" applyAlignment="1">
      <alignment horizontal="center"/>
    </xf>
    <xf numFmtId="0" fontId="64" fillId="0" borderId="26" xfId="0" applyFont="1" applyBorder="1" applyAlignment="1">
      <alignment horizontal="center"/>
    </xf>
    <xf numFmtId="0" fontId="64" fillId="0" borderId="51" xfId="0" applyFont="1" applyBorder="1" applyAlignment="1">
      <alignment horizontal="center"/>
    </xf>
    <xf numFmtId="0" fontId="64" fillId="0" borderId="27" xfId="0" applyFont="1" applyFill="1" applyBorder="1" applyAlignment="1">
      <alignment horizontal="center"/>
    </xf>
    <xf numFmtId="0" fontId="63" fillId="0" borderId="16" xfId="0" applyFont="1" applyBorder="1" applyAlignment="1">
      <alignment horizontal="center"/>
    </xf>
    <xf numFmtId="0" fontId="63" fillId="0" borderId="9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9" xfId="0" applyFont="1" applyBorder="1"/>
    <xf numFmtId="0" fontId="5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/>
    </xf>
    <xf numFmtId="0" fontId="6" fillId="0" borderId="16" xfId="0" applyFont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54" fillId="0" borderId="0" xfId="0" applyFont="1" applyAlignment="1">
      <alignment horizontal="center"/>
    </xf>
    <xf numFmtId="0" fontId="39" fillId="0" borderId="9" xfId="0" applyFont="1" applyBorder="1" applyAlignment="1">
      <alignment horizontal="center" vertical="center" wrapText="1"/>
    </xf>
    <xf numFmtId="0" fontId="52" fillId="0" borderId="9" xfId="0" applyFont="1" applyBorder="1" applyAlignment="1">
      <alignment horizontal="center" vertical="center" wrapText="1"/>
    </xf>
    <xf numFmtId="0" fontId="38" fillId="0" borderId="0" xfId="0" applyFont="1" applyAlignment="1">
      <alignment horizontal="left"/>
    </xf>
    <xf numFmtId="0" fontId="12" fillId="0" borderId="0" xfId="0" applyFont="1" applyBorder="1" applyAlignment="1">
      <alignment horizontal="center"/>
    </xf>
    <xf numFmtId="0" fontId="39" fillId="0" borderId="26" xfId="0" applyFont="1" applyBorder="1" applyAlignment="1">
      <alignment horizontal="center" vertical="center" wrapText="1"/>
    </xf>
    <xf numFmtId="0" fontId="39" fillId="0" borderId="29" xfId="0" applyFont="1" applyBorder="1" applyAlignment="1">
      <alignment horizontal="center" vertical="center" wrapText="1"/>
    </xf>
    <xf numFmtId="0" fontId="64" fillId="0" borderId="29" xfId="0" applyFont="1" applyBorder="1" applyAlignment="1">
      <alignment horizontal="center" vertical="center" wrapText="1"/>
    </xf>
    <xf numFmtId="0" fontId="52" fillId="0" borderId="26" xfId="0" applyFont="1" applyBorder="1" applyAlignment="1">
      <alignment horizontal="center" vertical="center" wrapText="1"/>
    </xf>
    <xf numFmtId="0" fontId="64" fillId="0" borderId="26" xfId="0" applyFont="1" applyBorder="1" applyAlignment="1">
      <alignment horizontal="center" vertical="center" wrapText="1"/>
    </xf>
    <xf numFmtId="0" fontId="52" fillId="0" borderId="29" xfId="0" applyFont="1" applyBorder="1" applyAlignment="1">
      <alignment horizontal="center" vertical="center" wrapText="1"/>
    </xf>
    <xf numFmtId="0" fontId="64" fillId="0" borderId="29" xfId="0" applyFont="1" applyFill="1" applyBorder="1" applyAlignment="1">
      <alignment horizontal="center" vertical="center"/>
    </xf>
    <xf numFmtId="0" fontId="64" fillId="0" borderId="26" xfId="0" applyFont="1" applyFill="1" applyBorder="1" applyAlignment="1">
      <alignment horizontal="center" vertical="center"/>
    </xf>
    <xf numFmtId="0" fontId="52" fillId="0" borderId="16" xfId="0" applyFont="1" applyBorder="1" applyAlignment="1">
      <alignment horizontal="center" vertical="center" wrapText="1"/>
    </xf>
    <xf numFmtId="0" fontId="64" fillId="0" borderId="16" xfId="0" applyFont="1" applyFill="1" applyBorder="1" applyAlignment="1">
      <alignment horizontal="center" vertical="center"/>
    </xf>
    <xf numFmtId="0" fontId="12" fillId="0" borderId="0" xfId="0" applyFont="1" applyBorder="1" applyAlignment="1"/>
    <xf numFmtId="0" fontId="54" fillId="0" borderId="0" xfId="0" applyFont="1" applyAlignment="1"/>
    <xf numFmtId="0" fontId="11" fillId="0" borderId="0" xfId="0" applyFont="1" applyAlignment="1">
      <alignment horizontal="center"/>
    </xf>
    <xf numFmtId="0" fontId="18" fillId="0" borderId="0" xfId="0" applyFont="1" applyBorder="1"/>
    <xf numFmtId="0" fontId="45" fillId="0" borderId="0" xfId="0" applyFont="1" applyBorder="1" applyAlignment="1">
      <alignment horizontal="left"/>
    </xf>
    <xf numFmtId="0" fontId="47" fillId="0" borderId="0" xfId="0" applyFont="1" applyBorder="1" applyAlignment="1">
      <alignment horizontal="left" wrapText="1"/>
    </xf>
    <xf numFmtId="0" fontId="11" fillId="0" borderId="29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 shrinkToFit="1"/>
    </xf>
    <xf numFmtId="0" fontId="69" fillId="0" borderId="9" xfId="0" applyFont="1" applyFill="1" applyBorder="1" applyAlignment="1">
      <alignment horizontal="left"/>
    </xf>
    <xf numFmtId="0" fontId="65" fillId="0" borderId="9" xfId="0" applyFont="1" applyFill="1" applyBorder="1" applyAlignment="1">
      <alignment horizontal="right"/>
    </xf>
    <xf numFmtId="0" fontId="65" fillId="0" borderId="42" xfId="0" applyFont="1" applyFill="1" applyBorder="1" applyAlignment="1">
      <alignment horizontal="right"/>
    </xf>
    <xf numFmtId="0" fontId="65" fillId="0" borderId="24" xfId="0" applyFont="1" applyFill="1" applyBorder="1" applyAlignment="1">
      <alignment horizontal="right"/>
    </xf>
    <xf numFmtId="0" fontId="65" fillId="0" borderId="21" xfId="0" applyFont="1" applyFill="1" applyBorder="1" applyAlignment="1">
      <alignment horizontal="right"/>
    </xf>
    <xf numFmtId="0" fontId="65" fillId="0" borderId="25" xfId="0" applyFont="1" applyFill="1" applyBorder="1" applyAlignment="1">
      <alignment horizontal="right"/>
    </xf>
    <xf numFmtId="0" fontId="37" fillId="0" borderId="18" xfId="0" applyFont="1" applyBorder="1"/>
    <xf numFmtId="0" fontId="37" fillId="0" borderId="23" xfId="0" applyFont="1" applyBorder="1"/>
    <xf numFmtId="0" fontId="69" fillId="0" borderId="13" xfId="0" applyFont="1" applyFill="1" applyBorder="1" applyAlignment="1">
      <alignment horizontal="left"/>
    </xf>
    <xf numFmtId="0" fontId="65" fillId="0" borderId="13" xfId="0" applyFont="1" applyFill="1" applyBorder="1" applyAlignment="1">
      <alignment horizontal="right"/>
    </xf>
    <xf numFmtId="0" fontId="65" fillId="0" borderId="39" xfId="0" applyFont="1" applyFill="1" applyBorder="1" applyAlignment="1">
      <alignment horizontal="right"/>
    </xf>
    <xf numFmtId="0" fontId="65" fillId="0" borderId="43" xfId="0" applyFont="1" applyFill="1" applyBorder="1" applyAlignment="1">
      <alignment horizontal="right"/>
    </xf>
    <xf numFmtId="0" fontId="37" fillId="0" borderId="9" xfId="0" applyFont="1" applyBorder="1"/>
    <xf numFmtId="0" fontId="37" fillId="0" borderId="40" xfId="0" applyFont="1" applyBorder="1"/>
    <xf numFmtId="0" fontId="14" fillId="0" borderId="2" xfId="0" applyFont="1" applyBorder="1"/>
    <xf numFmtId="0" fontId="65" fillId="0" borderId="30" xfId="0" applyFont="1" applyFill="1" applyBorder="1" applyAlignment="1">
      <alignment horizontal="right"/>
    </xf>
    <xf numFmtId="0" fontId="44" fillId="0" borderId="0" xfId="0" applyFont="1" applyBorder="1" applyAlignment="1">
      <alignment wrapText="1"/>
    </xf>
    <xf numFmtId="0" fontId="45" fillId="0" borderId="0" xfId="0" applyFont="1" applyBorder="1" applyAlignment="1"/>
    <xf numFmtId="0" fontId="5" fillId="0" borderId="0" xfId="0" applyFont="1" applyBorder="1" applyAlignment="1">
      <alignment wrapText="1" shrinkToFit="1"/>
    </xf>
    <xf numFmtId="0" fontId="6" fillId="0" borderId="0" xfId="0" applyFont="1" applyBorder="1" applyAlignment="1">
      <alignment wrapText="1" shrinkToFit="1"/>
    </xf>
    <xf numFmtId="0" fontId="47" fillId="0" borderId="0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69" fillId="0" borderId="30" xfId="0" applyFont="1" applyFill="1" applyBorder="1" applyAlignment="1">
      <alignment horizontal="left"/>
    </xf>
    <xf numFmtId="0" fontId="65" fillId="0" borderId="38" xfId="0" applyFont="1" applyFill="1" applyBorder="1" applyAlignment="1">
      <alignment horizontal="right"/>
    </xf>
    <xf numFmtId="0" fontId="65" fillId="0" borderId="37" xfId="0" applyFont="1" applyFill="1" applyBorder="1" applyAlignment="1">
      <alignment horizontal="right"/>
    </xf>
    <xf numFmtId="0" fontId="37" fillId="0" borderId="24" xfId="0" applyFont="1" applyBorder="1"/>
    <xf numFmtId="0" fontId="10" fillId="2" borderId="16" xfId="0" applyFont="1" applyFill="1" applyBorder="1" applyAlignment="1">
      <alignment horizontal="center"/>
    </xf>
    <xf numFmtId="0" fontId="11" fillId="0" borderId="29" xfId="0" applyFont="1" applyBorder="1" applyAlignment="1">
      <alignment horizontal="center" vertical="center" wrapText="1"/>
    </xf>
    <xf numFmtId="0" fontId="65" fillId="0" borderId="18" xfId="0" applyFont="1" applyFill="1" applyBorder="1" applyAlignment="1">
      <alignment horizontal="right"/>
    </xf>
    <xf numFmtId="0" fontId="65" fillId="0" borderId="23" xfId="0" applyFont="1" applyBorder="1"/>
    <xf numFmtId="0" fontId="65" fillId="0" borderId="57" xfId="0" applyFont="1" applyBorder="1" applyAlignment="1"/>
    <xf numFmtId="0" fontId="45" fillId="0" borderId="0" xfId="0" applyFont="1" applyBorder="1" applyAlignment="1">
      <alignment horizontal="left" wrapText="1"/>
    </xf>
    <xf numFmtId="0" fontId="39" fillId="0" borderId="0" xfId="0" applyFont="1" applyAlignment="1">
      <alignment horizontal="center"/>
    </xf>
    <xf numFmtId="0" fontId="44" fillId="0" borderId="0" xfId="0" applyFont="1" applyBorder="1" applyAlignment="1">
      <alignment horizontal="left" wrapText="1"/>
    </xf>
    <xf numFmtId="0" fontId="14" fillId="0" borderId="9" xfId="0" applyFont="1" applyBorder="1" applyAlignment="1">
      <alignment horizontal="center" vertical="center"/>
    </xf>
    <xf numFmtId="0" fontId="70" fillId="0" borderId="9" xfId="0" applyFont="1" applyBorder="1" applyAlignment="1">
      <alignment horizontal="center" vertical="center" wrapText="1"/>
    </xf>
    <xf numFmtId="0" fontId="70" fillId="0" borderId="11" xfId="0" applyFont="1" applyBorder="1" applyAlignment="1">
      <alignment horizontal="center" vertical="center" wrapText="1"/>
    </xf>
    <xf numFmtId="0" fontId="70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1" fillId="0" borderId="47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0" fontId="65" fillId="0" borderId="23" xfId="0" applyFont="1" applyFill="1" applyBorder="1" applyAlignment="1">
      <alignment horizontal="right"/>
    </xf>
    <xf numFmtId="0" fontId="65" fillId="0" borderId="11" xfId="0" applyFont="1" applyFill="1" applyBorder="1"/>
    <xf numFmtId="0" fontId="65" fillId="0" borderId="57" xfId="0" applyFont="1" applyFill="1" applyBorder="1" applyAlignment="1"/>
    <xf numFmtId="0" fontId="65" fillId="0" borderId="55" xfId="0" applyFont="1" applyFill="1" applyBorder="1" applyAlignment="1"/>
    <xf numFmtId="0" fontId="65" fillId="0" borderId="10" xfId="0" applyFont="1" applyFill="1" applyBorder="1"/>
    <xf numFmtId="0" fontId="65" fillId="0" borderId="9" xfId="0" applyFont="1" applyFill="1" applyBorder="1"/>
    <xf numFmtId="0" fontId="65" fillId="0" borderId="12" xfId="0" applyFont="1" applyFill="1" applyBorder="1" applyAlignment="1"/>
    <xf numFmtId="0" fontId="65" fillId="0" borderId="13" xfId="0" applyFont="1" applyFill="1" applyBorder="1" applyAlignment="1"/>
    <xf numFmtId="0" fontId="65" fillId="0" borderId="9" xfId="0" applyFont="1" applyFill="1" applyBorder="1" applyAlignment="1"/>
    <xf numFmtId="0" fontId="67" fillId="0" borderId="13" xfId="0" applyFont="1" applyFill="1" applyBorder="1" applyAlignment="1">
      <alignment horizontal="right"/>
    </xf>
    <xf numFmtId="0" fontId="68" fillId="0" borderId="23" xfId="0" applyFont="1" applyBorder="1"/>
    <xf numFmtId="0" fontId="68" fillId="0" borderId="18" xfId="0" applyFont="1" applyBorder="1"/>
    <xf numFmtId="0" fontId="37" fillId="0" borderId="23" xfId="0" applyFont="1" applyFill="1" applyBorder="1"/>
    <xf numFmtId="0" fontId="65" fillId="0" borderId="20" xfId="0" applyFont="1" applyFill="1" applyBorder="1"/>
    <xf numFmtId="0" fontId="65" fillId="0" borderId="19" xfId="0" applyFont="1" applyFill="1" applyBorder="1"/>
    <xf numFmtId="0" fontId="65" fillId="0" borderId="16" xfId="0" applyFont="1" applyFill="1" applyBorder="1"/>
    <xf numFmtId="0" fontId="44" fillId="0" borderId="0" xfId="0" applyFont="1" applyAlignment="1">
      <alignment horizontal="center" wrapText="1" shrinkToFit="1"/>
    </xf>
    <xf numFmtId="0" fontId="5" fillId="0" borderId="0" xfId="0" applyFont="1" applyAlignment="1">
      <alignment horizontal="center"/>
    </xf>
    <xf numFmtId="0" fontId="14" fillId="0" borderId="9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0" fontId="64" fillId="0" borderId="9" xfId="0" applyFont="1" applyBorder="1" applyAlignment="1">
      <alignment horizontal="center" vertical="center"/>
    </xf>
    <xf numFmtId="0" fontId="9" fillId="3" borderId="9" xfId="6" applyNumberFormat="1" applyFont="1" applyFill="1" applyBorder="1" applyAlignment="1">
      <alignment vertical="top" wrapText="1"/>
    </xf>
    <xf numFmtId="166" fontId="9" fillId="3" borderId="9" xfId="6" applyNumberFormat="1" applyFont="1" applyFill="1" applyBorder="1" applyAlignment="1">
      <alignment horizontal="center" vertical="top" wrapText="1"/>
    </xf>
    <xf numFmtId="0" fontId="14" fillId="0" borderId="9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/>
    </xf>
    <xf numFmtId="0" fontId="63" fillId="0" borderId="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43" fillId="0" borderId="0" xfId="0" applyFont="1" applyBorder="1" applyAlignment="1">
      <alignment horizontal="left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44" fillId="0" borderId="0" xfId="0" applyFont="1" applyBorder="1" applyAlignment="1">
      <alignment horizontal="left" wrapText="1"/>
    </xf>
    <xf numFmtId="0" fontId="11" fillId="2" borderId="53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49" fontId="22" fillId="2" borderId="13" xfId="0" applyNumberFormat="1" applyFont="1" applyFill="1" applyBorder="1" applyAlignment="1">
      <alignment horizontal="center" vertical="center" textRotation="90" wrapText="1"/>
    </xf>
    <xf numFmtId="49" fontId="22" fillId="2" borderId="30" xfId="0" applyNumberFormat="1" applyFont="1" applyFill="1" applyBorder="1" applyAlignment="1">
      <alignment horizontal="center" vertical="center" textRotation="90" wrapText="1"/>
    </xf>
    <xf numFmtId="49" fontId="22" fillId="2" borderId="15" xfId="0" applyNumberFormat="1" applyFont="1" applyFill="1" applyBorder="1" applyAlignment="1">
      <alignment horizontal="center" vertical="center" textRotation="90" wrapText="1"/>
    </xf>
    <xf numFmtId="49" fontId="22" fillId="2" borderId="55" xfId="0" applyNumberFormat="1" applyFont="1" applyFill="1" applyBorder="1" applyAlignment="1">
      <alignment horizontal="center" vertical="center" textRotation="90" wrapText="1"/>
    </xf>
    <xf numFmtId="49" fontId="22" fillId="2" borderId="36" xfId="0" applyNumberFormat="1" applyFont="1" applyFill="1" applyBorder="1" applyAlignment="1">
      <alignment horizontal="center" vertical="center" textRotation="90" wrapText="1"/>
    </xf>
    <xf numFmtId="49" fontId="22" fillId="2" borderId="35" xfId="0" applyNumberFormat="1" applyFont="1" applyFill="1" applyBorder="1" applyAlignment="1">
      <alignment horizontal="center" vertical="center" textRotation="90" wrapText="1"/>
    </xf>
    <xf numFmtId="0" fontId="18" fillId="0" borderId="0" xfId="0" applyFont="1" applyBorder="1"/>
    <xf numFmtId="0" fontId="9" fillId="0" borderId="0" xfId="0" applyFont="1" applyBorder="1" applyAlignment="1">
      <alignment horizontal="left"/>
    </xf>
    <xf numFmtId="0" fontId="48" fillId="0" borderId="0" xfId="1" applyNumberFormat="1" applyFont="1" applyBorder="1" applyAlignment="1" applyProtection="1">
      <alignment horizontal="left" vertical="justify" wrapText="1"/>
    </xf>
    <xf numFmtId="0" fontId="12" fillId="0" borderId="0" xfId="0" applyFont="1" applyBorder="1" applyAlignment="1">
      <alignment horizontal="justify"/>
    </xf>
    <xf numFmtId="0" fontId="13" fillId="0" borderId="0" xfId="0" applyFont="1" applyBorder="1" applyAlignment="1">
      <alignment horizontal="justify"/>
    </xf>
    <xf numFmtId="0" fontId="39" fillId="0" borderId="0" xfId="0" applyFont="1" applyAlignment="1">
      <alignment horizontal="center"/>
    </xf>
    <xf numFmtId="0" fontId="45" fillId="0" borderId="0" xfId="0" applyFont="1" applyAlignment="1">
      <alignment horizontal="left"/>
    </xf>
    <xf numFmtId="0" fontId="45" fillId="0" borderId="0" xfId="0" applyFont="1" applyBorder="1" applyAlignment="1">
      <alignment horizontal="left" wrapText="1"/>
    </xf>
    <xf numFmtId="0" fontId="45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wrapText="1" shrinkToFit="1"/>
    </xf>
    <xf numFmtId="0" fontId="44" fillId="0" borderId="0" xfId="0" applyFont="1" applyAlignment="1">
      <alignment horizontal="center" wrapText="1" shrinkToFit="1"/>
    </xf>
    <xf numFmtId="0" fontId="6" fillId="0" borderId="0" xfId="0" applyFont="1" applyBorder="1" applyAlignment="1">
      <alignment horizontal="left" wrapText="1" shrinkToFit="1"/>
    </xf>
    <xf numFmtId="0" fontId="18" fillId="0" borderId="0" xfId="0" applyFont="1" applyBorder="1" applyAlignment="1">
      <alignment horizontal="center" wrapText="1" shrinkToFit="1"/>
    </xf>
    <xf numFmtId="49" fontId="22" fillId="2" borderId="39" xfId="0" applyNumberFormat="1" applyFont="1" applyFill="1" applyBorder="1" applyAlignment="1">
      <alignment horizontal="center" vertical="center" textRotation="90" wrapText="1"/>
    </xf>
    <xf numFmtId="49" fontId="22" fillId="2" borderId="38" xfId="0" applyNumberFormat="1" applyFont="1" applyFill="1" applyBorder="1" applyAlignment="1">
      <alignment horizontal="center" vertical="center" textRotation="90" wrapText="1"/>
    </xf>
    <xf numFmtId="49" fontId="22" fillId="2" borderId="65" xfId="0" applyNumberFormat="1" applyFont="1" applyFill="1" applyBorder="1" applyAlignment="1">
      <alignment horizontal="center" vertical="center" textRotation="90" wrapText="1"/>
    </xf>
    <xf numFmtId="0" fontId="11" fillId="2" borderId="3" xfId="0" applyFont="1" applyFill="1" applyBorder="1" applyAlignment="1">
      <alignment horizontal="center"/>
    </xf>
    <xf numFmtId="0" fontId="11" fillId="2" borderId="8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11" fillId="2" borderId="52" xfId="0" applyFont="1" applyFill="1" applyBorder="1" applyAlignment="1">
      <alignment horizontal="center"/>
    </xf>
    <xf numFmtId="0" fontId="11" fillId="2" borderId="18" xfId="0" applyFont="1" applyFill="1" applyBorder="1" applyAlignment="1">
      <alignment horizontal="center"/>
    </xf>
    <xf numFmtId="49" fontId="22" fillId="2" borderId="16" xfId="0" applyNumberFormat="1" applyFont="1" applyFill="1" applyBorder="1" applyAlignment="1">
      <alignment horizontal="center" vertical="center" textRotation="90" wrapText="1"/>
    </xf>
    <xf numFmtId="0" fontId="47" fillId="0" borderId="0" xfId="0" applyFont="1" applyBorder="1" applyAlignment="1">
      <alignment horizontal="left" wrapText="1"/>
    </xf>
    <xf numFmtId="0" fontId="15" fillId="2" borderId="9" xfId="0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0" fontId="14" fillId="0" borderId="57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36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8" fillId="0" borderId="0" xfId="1" applyNumberFormat="1" applyFont="1" applyBorder="1" applyAlignment="1" applyProtection="1">
      <alignment horizontal="left" vertical="justify" wrapText="1"/>
    </xf>
    <xf numFmtId="0" fontId="51" fillId="0" borderId="18" xfId="0" applyFont="1" applyBorder="1" applyAlignment="1">
      <alignment horizontal="center" wrapText="1" shrinkToFit="1"/>
    </xf>
    <xf numFmtId="0" fontId="71" fillId="0" borderId="9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55" xfId="0" applyFont="1" applyBorder="1" applyAlignment="1">
      <alignment horizontal="center" vertical="center" wrapText="1"/>
    </xf>
    <xf numFmtId="0" fontId="14" fillId="0" borderId="57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/>
    </xf>
    <xf numFmtId="0" fontId="14" fillId="0" borderId="9" xfId="0" applyFont="1" applyBorder="1" applyAlignment="1">
      <alignment vertical="center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wrapText="1" shrinkToFit="1"/>
    </xf>
    <xf numFmtId="0" fontId="24" fillId="0" borderId="0" xfId="0" applyFont="1" applyAlignment="1">
      <alignment horizontal="left" wrapText="1" shrinkToFit="1"/>
    </xf>
    <xf numFmtId="0" fontId="44" fillId="0" borderId="0" xfId="0" applyFont="1" applyAlignment="1">
      <alignment horizontal="left" wrapText="1"/>
    </xf>
    <xf numFmtId="0" fontId="44" fillId="0" borderId="0" xfId="0" applyFont="1" applyAlignment="1">
      <alignment horizontal="left" vertical="top" wrapText="1"/>
    </xf>
    <xf numFmtId="0" fontId="38" fillId="0" borderId="0" xfId="0" applyFont="1" applyBorder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39" fillId="0" borderId="0" xfId="0" applyFont="1" applyAlignment="1">
      <alignment horizontal="left" vertical="top" wrapText="1"/>
    </xf>
    <xf numFmtId="0" fontId="61" fillId="0" borderId="0" xfId="0" applyFont="1" applyAlignment="1">
      <alignment horizontal="center"/>
    </xf>
    <xf numFmtId="0" fontId="37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center"/>
    </xf>
    <xf numFmtId="0" fontId="37" fillId="0" borderId="0" xfId="0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left"/>
    </xf>
    <xf numFmtId="0" fontId="45" fillId="0" borderId="0" xfId="0" applyFont="1" applyAlignment="1">
      <alignment horizontal="left" vertical="center"/>
    </xf>
    <xf numFmtId="0" fontId="11" fillId="0" borderId="16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wrapText="1" shrinkToFit="1"/>
    </xf>
    <xf numFmtId="0" fontId="5" fillId="0" borderId="9" xfId="0" applyFont="1" applyBorder="1"/>
    <xf numFmtId="0" fontId="54" fillId="0" borderId="0" xfId="0" applyFont="1" applyAlignment="1">
      <alignment horizontal="center"/>
    </xf>
    <xf numFmtId="0" fontId="39" fillId="0" borderId="0" xfId="0" applyFont="1" applyAlignment="1">
      <alignment horizontal="center" vertical="center"/>
    </xf>
    <xf numFmtId="0" fontId="39" fillId="0" borderId="9" xfId="0" applyFont="1" applyBorder="1" applyAlignment="1">
      <alignment horizontal="center" vertical="center" wrapText="1"/>
    </xf>
    <xf numFmtId="0" fontId="45" fillId="0" borderId="57" xfId="0" applyFont="1" applyBorder="1" applyAlignment="1">
      <alignment horizontal="left"/>
    </xf>
    <xf numFmtId="49" fontId="63" fillId="6" borderId="13" xfId="0" applyNumberFormat="1" applyFont="1" applyFill="1" applyBorder="1" applyAlignment="1">
      <alignment horizontal="center" vertical="center" textRotation="90" wrapText="1"/>
    </xf>
    <xf numFmtId="49" fontId="63" fillId="6" borderId="30" xfId="0" applyNumberFormat="1" applyFont="1" applyFill="1" applyBorder="1" applyAlignment="1">
      <alignment horizontal="center" vertical="center" textRotation="90" wrapText="1"/>
    </xf>
    <xf numFmtId="49" fontId="63" fillId="6" borderId="16" xfId="0" applyNumberFormat="1" applyFont="1" applyFill="1" applyBorder="1" applyAlignment="1">
      <alignment horizontal="center" vertical="center" textRotation="90" wrapText="1"/>
    </xf>
    <xf numFmtId="0" fontId="11" fillId="0" borderId="13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1" fillId="0" borderId="55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/>
    </xf>
    <xf numFmtId="0" fontId="11" fillId="0" borderId="57" xfId="0" applyFont="1" applyBorder="1" applyAlignment="1">
      <alignment horizontal="center" vertical="center" wrapText="1"/>
    </xf>
    <xf numFmtId="0" fontId="11" fillId="6" borderId="13" xfId="0" applyFont="1" applyFill="1" applyBorder="1" applyAlignment="1">
      <alignment horizontal="center" vertical="center" wrapText="1"/>
    </xf>
    <xf numFmtId="0" fontId="11" fillId="6" borderId="16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2" fillId="0" borderId="0" xfId="0" applyFont="1" applyAlignment="1">
      <alignment horizontal="left"/>
    </xf>
    <xf numFmtId="0" fontId="6" fillId="0" borderId="55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/>
    </xf>
    <xf numFmtId="0" fontId="42" fillId="0" borderId="0" xfId="1" applyNumberFormat="1" applyFont="1" applyBorder="1" applyAlignment="1" applyProtection="1">
      <alignment horizontal="left" vertical="justify" wrapText="1"/>
    </xf>
    <xf numFmtId="49" fontId="39" fillId="0" borderId="55" xfId="0" applyNumberFormat="1" applyFont="1" applyBorder="1" applyAlignment="1">
      <alignment horizontal="center" vertical="center" wrapText="1"/>
    </xf>
    <xf numFmtId="49" fontId="39" fillId="0" borderId="43" xfId="0" applyNumberFormat="1" applyFont="1" applyBorder="1" applyAlignment="1">
      <alignment horizontal="center" vertical="center" wrapText="1"/>
    </xf>
    <xf numFmtId="49" fontId="39" fillId="0" borderId="36" xfId="0" applyNumberFormat="1" applyFont="1" applyBorder="1" applyAlignment="1">
      <alignment horizontal="center" vertical="center" wrapText="1"/>
    </xf>
    <xf numFmtId="49" fontId="39" fillId="0" borderId="37" xfId="0" applyNumberFormat="1" applyFont="1" applyBorder="1" applyAlignment="1">
      <alignment horizontal="center" vertical="center" wrapText="1"/>
    </xf>
    <xf numFmtId="49" fontId="39" fillId="0" borderId="20" xfId="0" applyNumberFormat="1" applyFont="1" applyBorder="1" applyAlignment="1">
      <alignment horizontal="center" vertical="center" wrapText="1"/>
    </xf>
    <xf numFmtId="49" fontId="39" fillId="0" borderId="25" xfId="0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left" vertical="center" wrapText="1"/>
    </xf>
    <xf numFmtId="49" fontId="54" fillId="4" borderId="9" xfId="0" applyNumberFormat="1" applyFont="1" applyFill="1" applyBorder="1" applyAlignment="1">
      <alignment horizontal="center" vertical="center" wrapText="1"/>
    </xf>
    <xf numFmtId="49" fontId="5" fillId="4" borderId="9" xfId="0" applyNumberFormat="1" applyFont="1" applyFill="1" applyBorder="1" applyAlignment="1">
      <alignment horizontal="center" vertical="center" wrapText="1"/>
    </xf>
    <xf numFmtId="0" fontId="39" fillId="0" borderId="18" xfId="0" applyFont="1" applyBorder="1" applyAlignment="1">
      <alignment horizontal="left" wrapText="1"/>
    </xf>
    <xf numFmtId="0" fontId="5" fillId="0" borderId="55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6" fillId="0" borderId="16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39" fillId="0" borderId="18" xfId="0" applyFont="1" applyBorder="1" applyAlignment="1">
      <alignment horizontal="left" vertical="top" wrapText="1"/>
    </xf>
    <xf numFmtId="0" fontId="55" fillId="0" borderId="9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left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52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52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/>
    </xf>
    <xf numFmtId="0" fontId="39" fillId="0" borderId="0" xfId="0" applyFont="1" applyBorder="1" applyAlignment="1">
      <alignment horizontal="left"/>
    </xf>
    <xf numFmtId="0" fontId="6" fillId="0" borderId="11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top" wrapText="1"/>
    </xf>
    <xf numFmtId="0" fontId="6" fillId="0" borderId="57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/>
    </xf>
    <xf numFmtId="0" fontId="6" fillId="0" borderId="9" xfId="0" applyFont="1" applyBorder="1" applyAlignment="1">
      <alignment horizontal="center" vertical="center" wrapText="1" shrinkToFit="1"/>
    </xf>
    <xf numFmtId="0" fontId="53" fillId="3" borderId="0" xfId="3" applyNumberFormat="1" applyFont="1" applyFill="1" applyBorder="1" applyAlignment="1">
      <alignment horizontal="center" vertical="center" wrapText="1"/>
    </xf>
    <xf numFmtId="4" fontId="66" fillId="4" borderId="56" xfId="2" applyNumberFormat="1" applyFont="1" applyFill="1" applyBorder="1" applyAlignment="1">
      <alignment horizontal="center" vertical="top"/>
    </xf>
    <xf numFmtId="4" fontId="66" fillId="4" borderId="2" xfId="2" applyNumberFormat="1" applyFont="1" applyFill="1" applyBorder="1" applyAlignment="1">
      <alignment horizontal="center" vertical="top"/>
    </xf>
    <xf numFmtId="4" fontId="66" fillId="4" borderId="33" xfId="2" applyNumberFormat="1" applyFont="1" applyFill="1" applyBorder="1" applyAlignment="1">
      <alignment horizontal="center" vertical="top"/>
    </xf>
    <xf numFmtId="0" fontId="5" fillId="0" borderId="44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5" fillId="0" borderId="9" xfId="0" applyFont="1" applyBorder="1" applyAlignment="1">
      <alignment horizontal="center" vertical="center"/>
    </xf>
    <xf numFmtId="0" fontId="55" fillId="0" borderId="42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 wrapText="1"/>
    </xf>
    <xf numFmtId="0" fontId="5" fillId="0" borderId="63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5" fillId="0" borderId="51" xfId="0" applyFont="1" applyBorder="1" applyAlignment="1">
      <alignment horizontal="center" vertical="center"/>
    </xf>
    <xf numFmtId="0" fontId="55" fillId="0" borderId="63" xfId="0" applyFont="1" applyBorder="1" applyAlignment="1">
      <alignment horizontal="center" vertical="center"/>
    </xf>
    <xf numFmtId="0" fontId="55" fillId="0" borderId="62" xfId="0" applyFont="1" applyBorder="1" applyAlignment="1">
      <alignment horizontal="center" vertical="center"/>
    </xf>
    <xf numFmtId="0" fontId="56" fillId="4" borderId="1" xfId="2" applyNumberFormat="1" applyFont="1" applyFill="1" applyBorder="1" applyAlignment="1">
      <alignment horizontal="left" wrapText="1" shrinkToFit="1"/>
    </xf>
    <xf numFmtId="0" fontId="56" fillId="4" borderId="2" xfId="2" applyNumberFormat="1" applyFont="1" applyFill="1" applyBorder="1" applyAlignment="1">
      <alignment horizontal="left" wrapText="1" shrinkToFit="1"/>
    </xf>
    <xf numFmtId="0" fontId="56" fillId="4" borderId="64" xfId="2" applyNumberFormat="1" applyFont="1" applyFill="1" applyBorder="1" applyAlignment="1">
      <alignment horizontal="left" wrapText="1" shrinkToFit="1"/>
    </xf>
    <xf numFmtId="0" fontId="58" fillId="4" borderId="35" xfId="2" applyNumberFormat="1" applyFont="1" applyFill="1" applyBorder="1" applyAlignment="1">
      <alignment horizontal="left"/>
    </xf>
    <xf numFmtId="0" fontId="58" fillId="4" borderId="32" xfId="2" applyNumberFormat="1" applyFont="1" applyFill="1" applyBorder="1" applyAlignment="1">
      <alignment horizontal="left"/>
    </xf>
    <xf numFmtId="0" fontId="39" fillId="0" borderId="8" xfId="0" applyFont="1" applyBorder="1" applyAlignment="1">
      <alignment horizontal="center" wrapText="1"/>
    </xf>
    <xf numFmtId="0" fontId="53" fillId="3" borderId="53" xfId="3" applyNumberFormat="1" applyFont="1" applyFill="1" applyBorder="1" applyAlignment="1">
      <alignment horizontal="center" vertical="center" wrapText="1"/>
    </xf>
    <xf numFmtId="0" fontId="53" fillId="3" borderId="63" xfId="3" applyNumberFormat="1" applyFont="1" applyFill="1" applyBorder="1" applyAlignment="1">
      <alignment horizontal="center" vertical="center" wrapText="1"/>
    </xf>
    <xf numFmtId="0" fontId="53" fillId="3" borderId="31" xfId="3" applyNumberFormat="1" applyFont="1" applyFill="1" applyBorder="1" applyAlignment="1">
      <alignment horizontal="center" vertical="center" wrapText="1"/>
    </xf>
    <xf numFmtId="0" fontId="55" fillId="0" borderId="51" xfId="0" applyFont="1" applyBorder="1" applyAlignment="1">
      <alignment horizontal="center" vertical="center" wrapText="1"/>
    </xf>
    <xf numFmtId="0" fontId="55" fillId="0" borderId="63" xfId="0" applyFont="1" applyBorder="1" applyAlignment="1">
      <alignment horizontal="center" vertical="center" wrapText="1"/>
    </xf>
    <xf numFmtId="0" fontId="55" fillId="0" borderId="31" xfId="0" applyFont="1" applyBorder="1" applyAlignment="1">
      <alignment horizontal="center" vertical="center" wrapText="1"/>
    </xf>
    <xf numFmtId="0" fontId="55" fillId="0" borderId="62" xfId="0" applyFont="1" applyBorder="1" applyAlignment="1">
      <alignment horizontal="center" vertical="center" wrapText="1"/>
    </xf>
    <xf numFmtId="0" fontId="58" fillId="3" borderId="0" xfId="3" applyNumberFormat="1" applyFont="1" applyFill="1" applyBorder="1" applyAlignment="1">
      <alignment horizontal="left" wrapText="1"/>
    </xf>
    <xf numFmtId="0" fontId="53" fillId="3" borderId="22" xfId="3" applyNumberFormat="1" applyFont="1" applyFill="1" applyBorder="1" applyAlignment="1">
      <alignment horizontal="center" vertical="center" wrapText="1"/>
    </xf>
    <xf numFmtId="0" fontId="53" fillId="3" borderId="23" xfId="3" applyNumberFormat="1" applyFont="1" applyFill="1" applyBorder="1" applyAlignment="1">
      <alignment horizontal="center" vertical="center" wrapText="1"/>
    </xf>
    <xf numFmtId="0" fontId="53" fillId="3" borderId="24" xfId="3" applyNumberFormat="1" applyFont="1" applyFill="1" applyBorder="1" applyAlignment="1">
      <alignment horizontal="center" vertical="center" wrapText="1"/>
    </xf>
    <xf numFmtId="0" fontId="55" fillId="0" borderId="11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55" fillId="0" borderId="24" xfId="0" applyFont="1" applyBorder="1" applyAlignment="1">
      <alignment horizontal="center" vertical="center" wrapText="1"/>
    </xf>
    <xf numFmtId="0" fontId="55" fillId="0" borderId="61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52" xfId="0" applyFont="1" applyBorder="1" applyAlignment="1">
      <alignment horizontal="center" wrapText="1" shrinkToFit="1"/>
    </xf>
    <xf numFmtId="0" fontId="5" fillId="0" borderId="45" xfId="0" applyFont="1" applyBorder="1" applyAlignment="1">
      <alignment horizontal="center" wrapText="1" shrinkToFit="1"/>
    </xf>
    <xf numFmtId="0" fontId="3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39" fillId="0" borderId="32" xfId="0" applyFont="1" applyBorder="1" applyAlignment="1">
      <alignment horizontal="left" wrapText="1"/>
    </xf>
    <xf numFmtId="0" fontId="49" fillId="0" borderId="8" xfId="0" applyFont="1" applyBorder="1" applyAlignment="1">
      <alignment horizontal="center" wrapText="1"/>
    </xf>
    <xf numFmtId="0" fontId="6" fillId="0" borderId="44" xfId="0" applyFont="1" applyBorder="1" applyAlignment="1">
      <alignment horizontal="center"/>
    </xf>
    <xf numFmtId="0" fontId="6" fillId="0" borderId="40" xfId="0" applyFont="1" applyBorder="1" applyAlignment="1">
      <alignment horizontal="center"/>
    </xf>
    <xf numFmtId="0" fontId="6" fillId="0" borderId="45" xfId="0" applyFont="1" applyBorder="1" applyAlignment="1">
      <alignment horizontal="center"/>
    </xf>
    <xf numFmtId="0" fontId="6" fillId="0" borderId="52" xfId="0" applyFont="1" applyBorder="1" applyAlignment="1">
      <alignment horizontal="center"/>
    </xf>
    <xf numFmtId="0" fontId="6" fillId="0" borderId="54" xfId="0" applyFont="1" applyBorder="1" applyAlignment="1">
      <alignment horizontal="center"/>
    </xf>
    <xf numFmtId="0" fontId="5" fillId="0" borderId="9" xfId="0" applyFont="1" applyBorder="1" applyAlignment="1"/>
    <xf numFmtId="0" fontId="5" fillId="0" borderId="0" xfId="0" applyFont="1" applyAlignment="1">
      <alignment horizontal="center"/>
    </xf>
    <xf numFmtId="0" fontId="60" fillId="0" borderId="11" xfId="0" applyFont="1" applyBorder="1" applyAlignment="1">
      <alignment horizontal="left" vertical="top"/>
    </xf>
    <xf numFmtId="0" fontId="60" fillId="0" borderId="23" xfId="0" applyFont="1" applyBorder="1" applyAlignment="1">
      <alignment horizontal="left" vertical="top"/>
    </xf>
    <xf numFmtId="0" fontId="60" fillId="0" borderId="24" xfId="0" applyFont="1" applyBorder="1" applyAlignment="1">
      <alignment horizontal="left" vertical="top"/>
    </xf>
    <xf numFmtId="0" fontId="39" fillId="0" borderId="18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63" fillId="0" borderId="9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 shrinkToFit="1"/>
    </xf>
    <xf numFmtId="0" fontId="6" fillId="0" borderId="24" xfId="0" applyFont="1" applyBorder="1" applyAlignment="1">
      <alignment horizontal="center" vertical="center" wrapText="1" shrinkToFit="1"/>
    </xf>
    <xf numFmtId="0" fontId="39" fillId="0" borderId="18" xfId="0" applyFont="1" applyBorder="1" applyAlignment="1">
      <alignment horizontal="center"/>
    </xf>
    <xf numFmtId="0" fontId="6" fillId="5" borderId="13" xfId="0" applyFont="1" applyFill="1" applyBorder="1" applyAlignment="1">
      <alignment horizontal="center" vertical="center" wrapText="1" shrinkToFit="1"/>
    </xf>
    <xf numFmtId="0" fontId="6" fillId="5" borderId="30" xfId="0" applyFont="1" applyFill="1" applyBorder="1" applyAlignment="1">
      <alignment horizontal="center" vertical="center" wrapText="1" shrinkToFit="1"/>
    </xf>
    <xf numFmtId="0" fontId="6" fillId="5" borderId="16" xfId="0" applyFont="1" applyFill="1" applyBorder="1" applyAlignment="1">
      <alignment horizontal="center" vertical="center" wrapText="1" shrinkToFit="1"/>
    </xf>
    <xf numFmtId="0" fontId="0" fillId="0" borderId="0" xfId="0" applyAlignment="1">
      <alignment horizontal="left"/>
    </xf>
    <xf numFmtId="0" fontId="31" fillId="0" borderId="9" xfId="2" applyFont="1" applyBorder="1" applyAlignment="1">
      <alignment horizontal="center" vertical="center" wrapText="1"/>
    </xf>
    <xf numFmtId="0" fontId="19" fillId="0" borderId="0" xfId="2" applyFont="1" applyFill="1" applyBorder="1" applyAlignment="1">
      <alignment horizontal="left" vertical="top" wrapText="1"/>
    </xf>
    <xf numFmtId="0" fontId="34" fillId="0" borderId="0" xfId="0" applyFont="1" applyAlignment="1">
      <alignment horizontal="center"/>
    </xf>
    <xf numFmtId="0" fontId="32" fillId="0" borderId="9" xfId="0" applyFont="1" applyBorder="1" applyAlignment="1">
      <alignment horizontal="center" vertical="center"/>
    </xf>
    <xf numFmtId="165" fontId="31" fillId="0" borderId="9" xfId="2" applyNumberFormat="1" applyFont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49" fillId="0" borderId="0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3" xfId="0" applyFont="1" applyBorder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 shrinkToFit="1"/>
    </xf>
    <xf numFmtId="0" fontId="5" fillId="0" borderId="16" xfId="0" applyFont="1" applyBorder="1" applyAlignment="1">
      <alignment horizontal="center" vertical="center" wrapText="1" shrinkToFit="1"/>
    </xf>
    <xf numFmtId="0" fontId="6" fillId="0" borderId="0" xfId="0" applyFont="1" applyAlignment="1">
      <alignment horizontal="center"/>
    </xf>
    <xf numFmtId="0" fontId="5" fillId="0" borderId="28" xfId="0" applyFont="1" applyBorder="1" applyAlignment="1">
      <alignment horizontal="center" wrapText="1" shrinkToFit="1"/>
    </xf>
    <xf numFmtId="0" fontId="5" fillId="0" borderId="14" xfId="0" applyFont="1" applyBorder="1" applyAlignment="1">
      <alignment horizontal="center" wrapText="1" shrinkToFit="1"/>
    </xf>
    <xf numFmtId="0" fontId="5" fillId="0" borderId="0" xfId="0" applyFont="1" applyAlignment="1">
      <alignment horizontal="center" wrapText="1" shrinkToFit="1"/>
    </xf>
  </cellXfs>
  <cellStyles count="7">
    <cellStyle name="Гиперссылка" xfId="1" builtinId="8"/>
    <cellStyle name="Обычный" xfId="0" builtinId="0"/>
    <cellStyle name="Обычный 2" xfId="5"/>
    <cellStyle name="Обычный_гнутоклеенные" xfId="6"/>
    <cellStyle name="Обычный_Лист1" xfId="2"/>
    <cellStyle name="Обычный_Лист1_1" xfId="4"/>
    <cellStyle name="Обычный_Лист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jpeg"/><Relationship Id="rId13" Type="http://schemas.openxmlformats.org/officeDocument/2006/relationships/image" Target="../media/image56.jpeg"/><Relationship Id="rId18" Type="http://schemas.openxmlformats.org/officeDocument/2006/relationships/image" Target="../media/image61.jpeg"/><Relationship Id="rId3" Type="http://schemas.openxmlformats.org/officeDocument/2006/relationships/image" Target="../media/image47.png"/><Relationship Id="rId21" Type="http://schemas.openxmlformats.org/officeDocument/2006/relationships/image" Target="../media/image64.jpeg"/><Relationship Id="rId7" Type="http://schemas.openxmlformats.org/officeDocument/2006/relationships/image" Target="../media/image4.jpeg"/><Relationship Id="rId12" Type="http://schemas.openxmlformats.org/officeDocument/2006/relationships/image" Target="../media/image55.jpeg"/><Relationship Id="rId17" Type="http://schemas.openxmlformats.org/officeDocument/2006/relationships/image" Target="../media/image60.jpeg"/><Relationship Id="rId2" Type="http://schemas.openxmlformats.org/officeDocument/2006/relationships/image" Target="../media/image46.jpeg"/><Relationship Id="rId16" Type="http://schemas.openxmlformats.org/officeDocument/2006/relationships/image" Target="../media/image59.jpeg"/><Relationship Id="rId20" Type="http://schemas.openxmlformats.org/officeDocument/2006/relationships/image" Target="../media/image63.jpeg"/><Relationship Id="rId1" Type="http://schemas.openxmlformats.org/officeDocument/2006/relationships/image" Target="../media/image45.jpeg"/><Relationship Id="rId6" Type="http://schemas.openxmlformats.org/officeDocument/2006/relationships/image" Target="../media/image50.png"/><Relationship Id="rId11" Type="http://schemas.openxmlformats.org/officeDocument/2006/relationships/image" Target="../media/image54.jpeg"/><Relationship Id="rId5" Type="http://schemas.openxmlformats.org/officeDocument/2006/relationships/image" Target="../media/image49.png"/><Relationship Id="rId15" Type="http://schemas.openxmlformats.org/officeDocument/2006/relationships/image" Target="../media/image58.jpeg"/><Relationship Id="rId10" Type="http://schemas.openxmlformats.org/officeDocument/2006/relationships/image" Target="../media/image53.jpeg"/><Relationship Id="rId19" Type="http://schemas.openxmlformats.org/officeDocument/2006/relationships/image" Target="../media/image62.jpeg"/><Relationship Id="rId4" Type="http://schemas.openxmlformats.org/officeDocument/2006/relationships/image" Target="../media/image48.png"/><Relationship Id="rId9" Type="http://schemas.openxmlformats.org/officeDocument/2006/relationships/image" Target="../media/image52.jpeg"/><Relationship Id="rId14" Type="http://schemas.openxmlformats.org/officeDocument/2006/relationships/image" Target="../media/image57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emf"/><Relationship Id="rId13" Type="http://schemas.openxmlformats.org/officeDocument/2006/relationships/image" Target="../media/image76.emf"/><Relationship Id="rId18" Type="http://schemas.openxmlformats.org/officeDocument/2006/relationships/image" Target="../media/image81.emf"/><Relationship Id="rId3" Type="http://schemas.openxmlformats.org/officeDocument/2006/relationships/image" Target="../media/image66.emf"/><Relationship Id="rId21" Type="http://schemas.openxmlformats.org/officeDocument/2006/relationships/image" Target="../media/image84.emf"/><Relationship Id="rId7" Type="http://schemas.openxmlformats.org/officeDocument/2006/relationships/image" Target="../media/image70.emf"/><Relationship Id="rId12" Type="http://schemas.openxmlformats.org/officeDocument/2006/relationships/image" Target="../media/image75.emf"/><Relationship Id="rId17" Type="http://schemas.openxmlformats.org/officeDocument/2006/relationships/image" Target="../media/image80.emf"/><Relationship Id="rId2" Type="http://schemas.openxmlformats.org/officeDocument/2006/relationships/image" Target="../media/image65.emf"/><Relationship Id="rId16" Type="http://schemas.openxmlformats.org/officeDocument/2006/relationships/image" Target="../media/image79.emf"/><Relationship Id="rId20" Type="http://schemas.openxmlformats.org/officeDocument/2006/relationships/image" Target="../media/image83.emf"/><Relationship Id="rId1" Type="http://schemas.openxmlformats.org/officeDocument/2006/relationships/image" Target="../media/image1.png"/><Relationship Id="rId6" Type="http://schemas.openxmlformats.org/officeDocument/2006/relationships/image" Target="../media/image69.emf"/><Relationship Id="rId11" Type="http://schemas.openxmlformats.org/officeDocument/2006/relationships/image" Target="../media/image74.emf"/><Relationship Id="rId24" Type="http://schemas.openxmlformats.org/officeDocument/2006/relationships/image" Target="../media/image87.emf"/><Relationship Id="rId5" Type="http://schemas.openxmlformats.org/officeDocument/2006/relationships/image" Target="../media/image68.emf"/><Relationship Id="rId15" Type="http://schemas.openxmlformats.org/officeDocument/2006/relationships/image" Target="../media/image78.emf"/><Relationship Id="rId23" Type="http://schemas.openxmlformats.org/officeDocument/2006/relationships/image" Target="../media/image86.emf"/><Relationship Id="rId10" Type="http://schemas.openxmlformats.org/officeDocument/2006/relationships/image" Target="../media/image73.emf"/><Relationship Id="rId19" Type="http://schemas.openxmlformats.org/officeDocument/2006/relationships/image" Target="../media/image82.emf"/><Relationship Id="rId4" Type="http://schemas.openxmlformats.org/officeDocument/2006/relationships/image" Target="../media/image67.emf"/><Relationship Id="rId9" Type="http://schemas.openxmlformats.org/officeDocument/2006/relationships/image" Target="../media/image72.emf"/><Relationship Id="rId14" Type="http://schemas.openxmlformats.org/officeDocument/2006/relationships/image" Target="../media/image77.emf"/><Relationship Id="rId22" Type="http://schemas.openxmlformats.org/officeDocument/2006/relationships/image" Target="../media/image85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png"/><Relationship Id="rId3" Type="http://schemas.openxmlformats.org/officeDocument/2006/relationships/image" Target="../media/image90.png"/><Relationship Id="rId7" Type="http://schemas.openxmlformats.org/officeDocument/2006/relationships/image" Target="../media/image94.png"/><Relationship Id="rId2" Type="http://schemas.openxmlformats.org/officeDocument/2006/relationships/image" Target="../media/image89.png"/><Relationship Id="rId1" Type="http://schemas.openxmlformats.org/officeDocument/2006/relationships/image" Target="../media/image88.png"/><Relationship Id="rId6" Type="http://schemas.openxmlformats.org/officeDocument/2006/relationships/image" Target="../media/image93.png"/><Relationship Id="rId5" Type="http://schemas.openxmlformats.org/officeDocument/2006/relationships/image" Target="../media/image92.png"/><Relationship Id="rId10" Type="http://schemas.openxmlformats.org/officeDocument/2006/relationships/image" Target="../media/image96.jpg"/><Relationship Id="rId4" Type="http://schemas.openxmlformats.org/officeDocument/2006/relationships/image" Target="../media/image91.png"/><Relationship Id="rId9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2" Type="http://schemas.openxmlformats.org/officeDocument/2006/relationships/image" Target="../media/image5.tiff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10" Type="http://schemas.openxmlformats.org/officeDocument/2006/relationships/image" Target="../media/image13.jpeg"/><Relationship Id="rId4" Type="http://schemas.openxmlformats.org/officeDocument/2006/relationships/image" Target="../media/image7.tiff"/><Relationship Id="rId9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13" Type="http://schemas.openxmlformats.org/officeDocument/2006/relationships/image" Target="../media/image25.jpeg"/><Relationship Id="rId18" Type="http://schemas.openxmlformats.org/officeDocument/2006/relationships/image" Target="../media/image30.jpeg"/><Relationship Id="rId26" Type="http://schemas.openxmlformats.org/officeDocument/2006/relationships/image" Target="../media/image38.jpeg"/><Relationship Id="rId3" Type="http://schemas.openxmlformats.org/officeDocument/2006/relationships/image" Target="../media/image16.jpeg"/><Relationship Id="rId21" Type="http://schemas.openxmlformats.org/officeDocument/2006/relationships/image" Target="../media/image33.jpeg"/><Relationship Id="rId7" Type="http://schemas.openxmlformats.org/officeDocument/2006/relationships/image" Target="../media/image4.jpeg"/><Relationship Id="rId12" Type="http://schemas.openxmlformats.org/officeDocument/2006/relationships/image" Target="../media/image24.jpeg"/><Relationship Id="rId17" Type="http://schemas.openxmlformats.org/officeDocument/2006/relationships/image" Target="../media/image29.jpeg"/><Relationship Id="rId25" Type="http://schemas.openxmlformats.org/officeDocument/2006/relationships/image" Target="../media/image37.jpeg"/><Relationship Id="rId2" Type="http://schemas.openxmlformats.org/officeDocument/2006/relationships/image" Target="../media/image15.jpeg"/><Relationship Id="rId16" Type="http://schemas.openxmlformats.org/officeDocument/2006/relationships/image" Target="../media/image28.jpeg"/><Relationship Id="rId20" Type="http://schemas.openxmlformats.org/officeDocument/2006/relationships/image" Target="../media/image32.jpeg"/><Relationship Id="rId29" Type="http://schemas.openxmlformats.org/officeDocument/2006/relationships/image" Target="../media/image41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11" Type="http://schemas.openxmlformats.org/officeDocument/2006/relationships/image" Target="../media/image23.jpeg"/><Relationship Id="rId24" Type="http://schemas.openxmlformats.org/officeDocument/2006/relationships/image" Target="../media/image36.jpeg"/><Relationship Id="rId32" Type="http://schemas.openxmlformats.org/officeDocument/2006/relationships/image" Target="../media/image44.jpeg"/><Relationship Id="rId5" Type="http://schemas.openxmlformats.org/officeDocument/2006/relationships/image" Target="../media/image18.jpeg"/><Relationship Id="rId15" Type="http://schemas.openxmlformats.org/officeDocument/2006/relationships/image" Target="../media/image27.jpeg"/><Relationship Id="rId23" Type="http://schemas.openxmlformats.org/officeDocument/2006/relationships/image" Target="../media/image35.jpeg"/><Relationship Id="rId28" Type="http://schemas.openxmlformats.org/officeDocument/2006/relationships/image" Target="../media/image40.jpeg"/><Relationship Id="rId10" Type="http://schemas.openxmlformats.org/officeDocument/2006/relationships/image" Target="../media/image22.jpeg"/><Relationship Id="rId19" Type="http://schemas.openxmlformats.org/officeDocument/2006/relationships/image" Target="../media/image31.jpeg"/><Relationship Id="rId31" Type="http://schemas.openxmlformats.org/officeDocument/2006/relationships/image" Target="../media/image43.jpeg"/><Relationship Id="rId4" Type="http://schemas.openxmlformats.org/officeDocument/2006/relationships/image" Target="../media/image17.jpeg"/><Relationship Id="rId9" Type="http://schemas.openxmlformats.org/officeDocument/2006/relationships/image" Target="../media/image21.jpeg"/><Relationship Id="rId14" Type="http://schemas.openxmlformats.org/officeDocument/2006/relationships/image" Target="../media/image26.jpeg"/><Relationship Id="rId22" Type="http://schemas.openxmlformats.org/officeDocument/2006/relationships/image" Target="../media/image34.jpeg"/><Relationship Id="rId27" Type="http://schemas.openxmlformats.org/officeDocument/2006/relationships/image" Target="../media/image39.jpeg"/><Relationship Id="rId30" Type="http://schemas.openxmlformats.org/officeDocument/2006/relationships/image" Target="../media/image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1674748</xdr:colOff>
      <xdr:row>0</xdr:row>
      <xdr:rowOff>0</xdr:rowOff>
    </xdr:from>
    <xdr:to>
      <xdr:col>7</xdr:col>
      <xdr:colOff>916517</xdr:colOff>
      <xdr:row>3</xdr:row>
      <xdr:rowOff>564619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27998" y="0"/>
          <a:ext cx="7147519" cy="15647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1547812</xdr:colOff>
      <xdr:row>0</xdr:row>
      <xdr:rowOff>23813</xdr:rowOff>
    </xdr:from>
    <xdr:to>
      <xdr:col>9</xdr:col>
      <xdr:colOff>1333501</xdr:colOff>
      <xdr:row>4</xdr:row>
      <xdr:rowOff>261939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5187" y="23813"/>
          <a:ext cx="2024064" cy="20240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19</xdr:row>
      <xdr:rowOff>0</xdr:rowOff>
    </xdr:from>
    <xdr:to>
      <xdr:col>3</xdr:col>
      <xdr:colOff>709454</xdr:colOff>
      <xdr:row>19</xdr:row>
      <xdr:rowOff>176054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4590" y="3474720"/>
          <a:ext cx="4604" cy="1760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790575</xdr:colOff>
      <xdr:row>14</xdr:row>
      <xdr:rowOff>95251</xdr:rowOff>
    </xdr:from>
    <xdr:to>
      <xdr:col>3</xdr:col>
      <xdr:colOff>790576</xdr:colOff>
      <xdr:row>14</xdr:row>
      <xdr:rowOff>190500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6495" y="2655571"/>
          <a:ext cx="1" cy="8762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676275</xdr:colOff>
      <xdr:row>11</xdr:row>
      <xdr:rowOff>90488</xdr:rowOff>
    </xdr:from>
    <xdr:to>
      <xdr:col>3</xdr:col>
      <xdr:colOff>679451</xdr:colOff>
      <xdr:row>11</xdr:row>
      <xdr:rowOff>190499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36495" y="2102168"/>
          <a:ext cx="3176" cy="923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723899</xdr:colOff>
      <xdr:row>12</xdr:row>
      <xdr:rowOff>123825</xdr:rowOff>
    </xdr:from>
    <xdr:to>
      <xdr:col>3</xdr:col>
      <xdr:colOff>723900</xdr:colOff>
      <xdr:row>12</xdr:row>
      <xdr:rowOff>185945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38399" y="2318385"/>
          <a:ext cx="1" cy="62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752476</xdr:colOff>
      <xdr:row>13</xdr:row>
      <xdr:rowOff>38101</xdr:rowOff>
    </xdr:from>
    <xdr:to>
      <xdr:col>3</xdr:col>
      <xdr:colOff>752477</xdr:colOff>
      <xdr:row>13</xdr:row>
      <xdr:rowOff>190500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36496" y="2415541"/>
          <a:ext cx="1" cy="1447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754928</xdr:colOff>
      <xdr:row>15</xdr:row>
      <xdr:rowOff>152400</xdr:rowOff>
    </xdr:from>
    <xdr:to>
      <xdr:col>3</xdr:col>
      <xdr:colOff>757382</xdr:colOff>
      <xdr:row>15</xdr:row>
      <xdr:rowOff>187229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38948" y="2895600"/>
          <a:ext cx="2454" cy="2720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896721</xdr:colOff>
      <xdr:row>0</xdr:row>
      <xdr:rowOff>19049</xdr:rowOff>
    </xdr:from>
    <xdr:to>
      <xdr:col>5</xdr:col>
      <xdr:colOff>847725</xdr:colOff>
      <xdr:row>3</xdr:row>
      <xdr:rowOff>114452</xdr:rowOff>
    </xdr:to>
    <xdr:pic>
      <xdr:nvPicPr>
        <xdr:cNvPr id="8" name="Рисунок 7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45561" y="19049"/>
          <a:ext cx="613944" cy="64404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285751</xdr:colOff>
      <xdr:row>11</xdr:row>
      <xdr:rowOff>76200</xdr:rowOff>
    </xdr:from>
    <xdr:to>
      <xdr:col>3</xdr:col>
      <xdr:colOff>1619251</xdr:colOff>
      <xdr:row>11</xdr:row>
      <xdr:rowOff>1329690</xdr:rowOff>
    </xdr:to>
    <xdr:pic>
      <xdr:nvPicPr>
        <xdr:cNvPr id="9" name="Рисунок 8" descr="1. 0621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14551" y="2087880"/>
          <a:ext cx="320040" cy="10287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</xdr:row>
      <xdr:rowOff>342900</xdr:rowOff>
    </xdr:from>
    <xdr:to>
      <xdr:col>4</xdr:col>
      <xdr:colOff>2751862</xdr:colOff>
      <xdr:row>12</xdr:row>
      <xdr:rowOff>1445134</xdr:rowOff>
    </xdr:to>
    <xdr:pic>
      <xdr:nvPicPr>
        <xdr:cNvPr id="10" name="Рисунок 9" descr="2. РКМ-ДВ (чертеж)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57450" y="2377440"/>
          <a:ext cx="591592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12</xdr:row>
      <xdr:rowOff>76200</xdr:rowOff>
    </xdr:from>
    <xdr:to>
      <xdr:col>3</xdr:col>
      <xdr:colOff>1724025</xdr:colOff>
      <xdr:row>12</xdr:row>
      <xdr:rowOff>1620520</xdr:rowOff>
    </xdr:to>
    <xdr:pic>
      <xdr:nvPicPr>
        <xdr:cNvPr id="11" name="Рисунок 10" descr="2. РКМ-ДВ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28825" y="2270760"/>
          <a:ext cx="411480" cy="10414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47627</xdr:colOff>
      <xdr:row>13</xdr:row>
      <xdr:rowOff>127000</xdr:rowOff>
    </xdr:from>
    <xdr:to>
      <xdr:col>3</xdr:col>
      <xdr:colOff>1981053</xdr:colOff>
      <xdr:row>13</xdr:row>
      <xdr:rowOff>1622425</xdr:rowOff>
    </xdr:to>
    <xdr:pic>
      <xdr:nvPicPr>
        <xdr:cNvPr id="12" name="Рисунок 11" descr="4. РК-КФ7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76427" y="2504440"/>
          <a:ext cx="561826" cy="55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33912</xdr:colOff>
      <xdr:row>13</xdr:row>
      <xdr:rowOff>276224</xdr:rowOff>
    </xdr:from>
    <xdr:to>
      <xdr:col>4</xdr:col>
      <xdr:colOff>2741613</xdr:colOff>
      <xdr:row>13</xdr:row>
      <xdr:rowOff>1400175</xdr:rowOff>
    </xdr:to>
    <xdr:pic>
      <xdr:nvPicPr>
        <xdr:cNvPr id="13" name="Рисунок 12" descr="4. РК-КФ75 (чертеж)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72312" y="2562224"/>
          <a:ext cx="57410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14</xdr:row>
      <xdr:rowOff>57150</xdr:rowOff>
    </xdr:from>
    <xdr:to>
      <xdr:col>3</xdr:col>
      <xdr:colOff>1426524</xdr:colOff>
      <xdr:row>14</xdr:row>
      <xdr:rowOff>1619250</xdr:rowOff>
    </xdr:to>
    <xdr:pic>
      <xdr:nvPicPr>
        <xdr:cNvPr id="14" name="Рисунок 13" descr="5. РКМ-НН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33625" y="2617470"/>
          <a:ext cx="106359" cy="121920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14</xdr:row>
      <xdr:rowOff>57150</xdr:rowOff>
    </xdr:from>
    <xdr:to>
      <xdr:col>4</xdr:col>
      <xdr:colOff>1922375</xdr:colOff>
      <xdr:row>14</xdr:row>
      <xdr:rowOff>1628775</xdr:rowOff>
    </xdr:to>
    <xdr:pic>
      <xdr:nvPicPr>
        <xdr:cNvPr id="15" name="Рисунок 14" descr="5. РКМ-НН (чертеж)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48000" y="2617470"/>
          <a:ext cx="2135" cy="12382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57150</xdr:rowOff>
    </xdr:from>
    <xdr:to>
      <xdr:col>3</xdr:col>
      <xdr:colOff>1559890</xdr:colOff>
      <xdr:row>15</xdr:row>
      <xdr:rowOff>1349373</xdr:rowOff>
    </xdr:to>
    <xdr:pic>
      <xdr:nvPicPr>
        <xdr:cNvPr id="16" name="Рисунок 15" descr="6. РК-СГ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05025" y="2800350"/>
          <a:ext cx="331165" cy="126363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15</xdr:row>
      <xdr:rowOff>152400</xdr:rowOff>
    </xdr:from>
    <xdr:to>
      <xdr:col>4</xdr:col>
      <xdr:colOff>2164568</xdr:colOff>
      <xdr:row>15</xdr:row>
      <xdr:rowOff>1333500</xdr:rowOff>
    </xdr:to>
    <xdr:pic>
      <xdr:nvPicPr>
        <xdr:cNvPr id="17" name="Рисунок 16" descr="6. РК-СГ (чертеж)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57500" y="2895600"/>
          <a:ext cx="190988" cy="3048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16</xdr:row>
      <xdr:rowOff>38099</xdr:rowOff>
    </xdr:from>
    <xdr:to>
      <xdr:col>3</xdr:col>
      <xdr:colOff>1816751</xdr:colOff>
      <xdr:row>16</xdr:row>
      <xdr:rowOff>1724024</xdr:rowOff>
    </xdr:to>
    <xdr:pic>
      <xdr:nvPicPr>
        <xdr:cNvPr id="18" name="Рисунок 17" descr="7. РК-УГ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28825" y="2964179"/>
          <a:ext cx="412766" cy="14668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16</xdr:row>
      <xdr:rowOff>276225</xdr:rowOff>
    </xdr:from>
    <xdr:to>
      <xdr:col>4</xdr:col>
      <xdr:colOff>2744429</xdr:colOff>
      <xdr:row>16</xdr:row>
      <xdr:rowOff>1394841</xdr:rowOff>
    </xdr:to>
    <xdr:pic>
      <xdr:nvPicPr>
        <xdr:cNvPr id="19" name="Рисунок 18" descr="7. РК-УГ (чертеж)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76501" y="3110865"/>
          <a:ext cx="572728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17</xdr:row>
      <xdr:rowOff>49717</xdr:rowOff>
    </xdr:from>
    <xdr:to>
      <xdr:col>3</xdr:col>
      <xdr:colOff>1638300</xdr:colOff>
      <xdr:row>17</xdr:row>
      <xdr:rowOff>1057272</xdr:rowOff>
    </xdr:to>
    <xdr:pic>
      <xdr:nvPicPr>
        <xdr:cNvPr id="20" name="Рисунок 19" descr="3. КП 04-0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38375" y="3158677"/>
          <a:ext cx="200025" cy="13125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18</xdr:row>
      <xdr:rowOff>47625</xdr:rowOff>
    </xdr:from>
    <xdr:to>
      <xdr:col>3</xdr:col>
      <xdr:colOff>1781175</xdr:colOff>
      <xdr:row>18</xdr:row>
      <xdr:rowOff>1743075</xdr:rowOff>
    </xdr:to>
    <xdr:pic>
      <xdr:nvPicPr>
        <xdr:cNvPr id="21" name="Рисунок 20" descr="Ролики асиметрия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14525" y="3339465"/>
          <a:ext cx="521970" cy="13335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485776</xdr:colOff>
      <xdr:row>11</xdr:row>
      <xdr:rowOff>38100</xdr:rowOff>
    </xdr:from>
    <xdr:to>
      <xdr:col>4</xdr:col>
      <xdr:colOff>2133599</xdr:colOff>
      <xdr:row>11</xdr:row>
      <xdr:rowOff>1352548</xdr:rowOff>
    </xdr:to>
    <xdr:pic>
      <xdr:nvPicPr>
        <xdr:cNvPr id="22" name="Рисунок 21" descr="1. 0621 (чертеж)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24176" y="2049780"/>
          <a:ext cx="123823" cy="1485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8172450</xdr:colOff>
      <xdr:row>0</xdr:row>
      <xdr:rowOff>61912</xdr:rowOff>
    </xdr:from>
    <xdr:to>
      <xdr:col>1</xdr:col>
      <xdr:colOff>1882049</xdr:colOff>
      <xdr:row>3</xdr:row>
      <xdr:rowOff>38099</xdr:rowOff>
    </xdr:to>
    <xdr:pic>
      <xdr:nvPicPr>
        <xdr:cNvPr id="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72450" y="61912"/>
          <a:ext cx="2510699" cy="1004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1552575</xdr:colOff>
      <xdr:row>0</xdr:row>
      <xdr:rowOff>0</xdr:rowOff>
    </xdr:from>
    <xdr:to>
      <xdr:col>3</xdr:col>
      <xdr:colOff>47625</xdr:colOff>
      <xdr:row>3</xdr:row>
      <xdr:rowOff>95586</xdr:rowOff>
    </xdr:to>
    <xdr:pic>
      <xdr:nvPicPr>
        <xdr:cNvPr id="25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52775" y="0"/>
          <a:ext cx="3143250" cy="695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6</xdr:row>
      <xdr:rowOff>38100</xdr:rowOff>
    </xdr:from>
    <xdr:to>
      <xdr:col>1</xdr:col>
      <xdr:colOff>2809875</xdr:colOff>
      <xdr:row>6</xdr:row>
      <xdr:rowOff>1190625</xdr:rowOff>
    </xdr:to>
    <xdr:pic>
      <xdr:nvPicPr>
        <xdr:cNvPr id="26" name="Рисунок 2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181100"/>
          <a:ext cx="2238375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361950</xdr:colOff>
      <xdr:row>7</xdr:row>
      <xdr:rowOff>114300</xdr:rowOff>
    </xdr:from>
    <xdr:to>
      <xdr:col>1</xdr:col>
      <xdr:colOff>3057525</xdr:colOff>
      <xdr:row>7</xdr:row>
      <xdr:rowOff>1143000</xdr:rowOff>
    </xdr:to>
    <xdr:pic>
      <xdr:nvPicPr>
        <xdr:cNvPr id="27" name="Рисунок 2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552700"/>
          <a:ext cx="2695575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180975</xdr:colOff>
      <xdr:row>8</xdr:row>
      <xdr:rowOff>161925</xdr:rowOff>
    </xdr:from>
    <xdr:to>
      <xdr:col>1</xdr:col>
      <xdr:colOff>3181350</xdr:colOff>
      <xdr:row>8</xdr:row>
      <xdr:rowOff>1104900</xdr:rowOff>
    </xdr:to>
    <xdr:pic>
      <xdr:nvPicPr>
        <xdr:cNvPr id="28" name="Рисунок 27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3895725"/>
          <a:ext cx="30003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</xdr:colOff>
      <xdr:row>9</xdr:row>
      <xdr:rowOff>152400</xdr:rowOff>
    </xdr:from>
    <xdr:to>
      <xdr:col>1</xdr:col>
      <xdr:colOff>3276600</xdr:colOff>
      <xdr:row>9</xdr:row>
      <xdr:rowOff>1171575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5181600"/>
          <a:ext cx="3190875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495300</xdr:colOff>
      <xdr:row>10</xdr:row>
      <xdr:rowOff>133350</xdr:rowOff>
    </xdr:from>
    <xdr:to>
      <xdr:col>1</xdr:col>
      <xdr:colOff>3343275</xdr:colOff>
      <xdr:row>10</xdr:row>
      <xdr:rowOff>1047750</xdr:rowOff>
    </xdr:to>
    <xdr:pic>
      <xdr:nvPicPr>
        <xdr:cNvPr id="30" name="Рисунок 29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6457950"/>
          <a:ext cx="2847975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1066800</xdr:colOff>
      <xdr:row>11</xdr:row>
      <xdr:rowOff>133350</xdr:rowOff>
    </xdr:from>
    <xdr:to>
      <xdr:col>1</xdr:col>
      <xdr:colOff>2428875</xdr:colOff>
      <xdr:row>11</xdr:row>
      <xdr:rowOff>1143000</xdr:rowOff>
    </xdr:to>
    <xdr:pic>
      <xdr:nvPicPr>
        <xdr:cNvPr id="31" name="Рисунок 30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7753350"/>
          <a:ext cx="13620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447675</xdr:colOff>
      <xdr:row>12</xdr:row>
      <xdr:rowOff>19051</xdr:rowOff>
    </xdr:from>
    <xdr:to>
      <xdr:col>1</xdr:col>
      <xdr:colOff>2876550</xdr:colOff>
      <xdr:row>12</xdr:row>
      <xdr:rowOff>1143001</xdr:rowOff>
    </xdr:to>
    <xdr:pic>
      <xdr:nvPicPr>
        <xdr:cNvPr id="32" name="Рисунок 31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8934451"/>
          <a:ext cx="24288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419100</xdr:colOff>
      <xdr:row>13</xdr:row>
      <xdr:rowOff>66675</xdr:rowOff>
    </xdr:from>
    <xdr:to>
      <xdr:col>1</xdr:col>
      <xdr:colOff>2847975</xdr:colOff>
      <xdr:row>13</xdr:row>
      <xdr:rowOff>1133475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0277475"/>
          <a:ext cx="2428875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600076</xdr:colOff>
      <xdr:row>14</xdr:row>
      <xdr:rowOff>19050</xdr:rowOff>
    </xdr:from>
    <xdr:to>
      <xdr:col>1</xdr:col>
      <xdr:colOff>3038476</xdr:colOff>
      <xdr:row>14</xdr:row>
      <xdr:rowOff>1228725</xdr:rowOff>
    </xdr:to>
    <xdr:pic>
      <xdr:nvPicPr>
        <xdr:cNvPr id="34" name="Рисунок 33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6" y="11525250"/>
          <a:ext cx="2438400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1314450</xdr:colOff>
      <xdr:row>15</xdr:row>
      <xdr:rowOff>28575</xdr:rowOff>
    </xdr:from>
    <xdr:to>
      <xdr:col>1</xdr:col>
      <xdr:colOff>2219325</xdr:colOff>
      <xdr:row>15</xdr:row>
      <xdr:rowOff>1428750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2830175"/>
          <a:ext cx="904875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1228725</xdr:colOff>
      <xdr:row>16</xdr:row>
      <xdr:rowOff>66675</xdr:rowOff>
    </xdr:from>
    <xdr:to>
      <xdr:col>1</xdr:col>
      <xdr:colOff>2419350</xdr:colOff>
      <xdr:row>16</xdr:row>
      <xdr:rowOff>1228725</xdr:rowOff>
    </xdr:to>
    <xdr:pic>
      <xdr:nvPicPr>
        <xdr:cNvPr id="36" name="Рисунок 35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4392275"/>
          <a:ext cx="1190625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857250</xdr:colOff>
      <xdr:row>17</xdr:row>
      <xdr:rowOff>152400</xdr:rowOff>
    </xdr:from>
    <xdr:to>
      <xdr:col>1</xdr:col>
      <xdr:colOff>2486025</xdr:colOff>
      <xdr:row>17</xdr:row>
      <xdr:rowOff>1162050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5773400"/>
          <a:ext cx="16287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1047750</xdr:colOff>
      <xdr:row>18</xdr:row>
      <xdr:rowOff>9525</xdr:rowOff>
    </xdr:from>
    <xdr:to>
      <xdr:col>1</xdr:col>
      <xdr:colOff>2257425</xdr:colOff>
      <xdr:row>18</xdr:row>
      <xdr:rowOff>1247775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6925925"/>
          <a:ext cx="1209675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828675</xdr:colOff>
      <xdr:row>19</xdr:row>
      <xdr:rowOff>38100</xdr:rowOff>
    </xdr:from>
    <xdr:to>
      <xdr:col>1</xdr:col>
      <xdr:colOff>2296795</xdr:colOff>
      <xdr:row>19</xdr:row>
      <xdr:rowOff>1219200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8249900"/>
          <a:ext cx="1468120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20</xdr:row>
      <xdr:rowOff>85725</xdr:rowOff>
    </xdr:from>
    <xdr:to>
      <xdr:col>1</xdr:col>
      <xdr:colOff>2200276</xdr:colOff>
      <xdr:row>20</xdr:row>
      <xdr:rowOff>1276350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19592925"/>
          <a:ext cx="110490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1085850</xdr:colOff>
      <xdr:row>21</xdr:row>
      <xdr:rowOff>180975</xdr:rowOff>
    </xdr:from>
    <xdr:to>
      <xdr:col>1</xdr:col>
      <xdr:colOff>2219325</xdr:colOff>
      <xdr:row>21</xdr:row>
      <xdr:rowOff>1238250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0983575"/>
          <a:ext cx="113347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962025</xdr:colOff>
      <xdr:row>22</xdr:row>
      <xdr:rowOff>47625</xdr:rowOff>
    </xdr:from>
    <xdr:to>
      <xdr:col>1</xdr:col>
      <xdr:colOff>2286000</xdr:colOff>
      <xdr:row>22</xdr:row>
      <xdr:rowOff>1276350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22145625"/>
          <a:ext cx="1323975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971550</xdr:colOff>
      <xdr:row>23</xdr:row>
      <xdr:rowOff>28575</xdr:rowOff>
    </xdr:from>
    <xdr:to>
      <xdr:col>1</xdr:col>
      <xdr:colOff>2295525</xdr:colOff>
      <xdr:row>23</xdr:row>
      <xdr:rowOff>1543050</xdr:rowOff>
    </xdr:to>
    <xdr:pic>
      <xdr:nvPicPr>
        <xdr:cNvPr id="43" name="Рисунок 42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3421975"/>
          <a:ext cx="1323975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1200151</xdr:colOff>
      <xdr:row>24</xdr:row>
      <xdr:rowOff>76200</xdr:rowOff>
    </xdr:from>
    <xdr:to>
      <xdr:col>1</xdr:col>
      <xdr:colOff>2381251</xdr:colOff>
      <xdr:row>24</xdr:row>
      <xdr:rowOff>1352550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5088850"/>
          <a:ext cx="1181100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1104900</xdr:colOff>
      <xdr:row>25</xdr:row>
      <xdr:rowOff>76200</xdr:rowOff>
    </xdr:from>
    <xdr:to>
      <xdr:col>1</xdr:col>
      <xdr:colOff>2295525</xdr:colOff>
      <xdr:row>25</xdr:row>
      <xdr:rowOff>1276350</xdr:rowOff>
    </xdr:to>
    <xdr:pic>
      <xdr:nvPicPr>
        <xdr:cNvPr id="45" name="Рисунок 44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6536650"/>
          <a:ext cx="119062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1038226</xdr:colOff>
      <xdr:row>26</xdr:row>
      <xdr:rowOff>66675</xdr:rowOff>
    </xdr:from>
    <xdr:to>
      <xdr:col>1</xdr:col>
      <xdr:colOff>2276476</xdr:colOff>
      <xdr:row>26</xdr:row>
      <xdr:rowOff>1285875</xdr:rowOff>
    </xdr:to>
    <xdr:pic>
      <xdr:nvPicPr>
        <xdr:cNvPr id="46" name="Рисунок 45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6" y="27822525"/>
          <a:ext cx="123825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27</xdr:row>
      <xdr:rowOff>38100</xdr:rowOff>
    </xdr:from>
    <xdr:to>
      <xdr:col>1</xdr:col>
      <xdr:colOff>2238376</xdr:colOff>
      <xdr:row>27</xdr:row>
      <xdr:rowOff>1209675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29089350"/>
          <a:ext cx="1143000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1133476</xdr:colOff>
      <xdr:row>28</xdr:row>
      <xdr:rowOff>19050</xdr:rowOff>
    </xdr:from>
    <xdr:to>
      <xdr:col>1</xdr:col>
      <xdr:colOff>2409826</xdr:colOff>
      <xdr:row>28</xdr:row>
      <xdr:rowOff>1181100</xdr:rowOff>
    </xdr:to>
    <xdr:pic>
      <xdr:nvPicPr>
        <xdr:cNvPr id="48" name="Рисунок 47"/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6" y="30365700"/>
          <a:ext cx="1276350" cy="1162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1174685</xdr:colOff>
      <xdr:row>0</xdr:row>
      <xdr:rowOff>59797</xdr:rowOff>
    </xdr:from>
    <xdr:to>
      <xdr:col>8</xdr:col>
      <xdr:colOff>1654947</xdr:colOff>
      <xdr:row>3</xdr:row>
      <xdr:rowOff>228600</xdr:rowOff>
    </xdr:to>
    <xdr:pic>
      <xdr:nvPicPr>
        <xdr:cNvPr id="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28585" y="59797"/>
          <a:ext cx="3985462" cy="12546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1897380</xdr:colOff>
      <xdr:row>10</xdr:row>
      <xdr:rowOff>190500</xdr:rowOff>
    </xdr:from>
    <xdr:to>
      <xdr:col>1</xdr:col>
      <xdr:colOff>3697380</xdr:colOff>
      <xdr:row>10</xdr:row>
      <xdr:rowOff>3070500</xdr:rowOff>
    </xdr:to>
    <xdr:pic>
      <xdr:nvPicPr>
        <xdr:cNvPr id="2" name="Рисунок 1" descr="тип 1.pn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9430" y="3810000"/>
          <a:ext cx="1800000" cy="28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2118360</xdr:colOff>
      <xdr:row>10</xdr:row>
      <xdr:rowOff>160020</xdr:rowOff>
    </xdr:from>
    <xdr:to>
      <xdr:col>2</xdr:col>
      <xdr:colOff>3918360</xdr:colOff>
      <xdr:row>10</xdr:row>
      <xdr:rowOff>3040020</xdr:rowOff>
    </xdr:to>
    <xdr:pic>
      <xdr:nvPicPr>
        <xdr:cNvPr id="3" name="Рисунок 2" descr="тип2.png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8310" y="3779520"/>
          <a:ext cx="1800000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2185034</xdr:colOff>
      <xdr:row>10</xdr:row>
      <xdr:rowOff>220980</xdr:rowOff>
    </xdr:from>
    <xdr:to>
      <xdr:col>3</xdr:col>
      <xdr:colOff>3985034</xdr:colOff>
      <xdr:row>10</xdr:row>
      <xdr:rowOff>3100980</xdr:rowOff>
    </xdr:to>
    <xdr:pic>
      <xdr:nvPicPr>
        <xdr:cNvPr id="4" name="Рисунок 3" descr="тип3.png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62884" y="3840480"/>
          <a:ext cx="1800000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1847850</xdr:colOff>
      <xdr:row>14</xdr:row>
      <xdr:rowOff>167640</xdr:rowOff>
    </xdr:from>
    <xdr:to>
      <xdr:col>3</xdr:col>
      <xdr:colOff>3733800</xdr:colOff>
      <xdr:row>14</xdr:row>
      <xdr:rowOff>3009900</xdr:rowOff>
    </xdr:to>
    <xdr:pic>
      <xdr:nvPicPr>
        <xdr:cNvPr id="5" name="Рисунок 4" descr="тип4.png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25700" y="8130540"/>
          <a:ext cx="1885950" cy="2842260"/>
        </a:xfrm>
        <a:prstGeom prst="rect">
          <a:avLst/>
        </a:prstGeom>
      </xdr:spPr>
    </xdr:pic>
    <xdr:clientData/>
  </xdr:twoCellAnchor>
  <xdr:twoCellAnchor>
    <xdr:from>
      <xdr:col>2</xdr:col>
      <xdr:colOff>1945005</xdr:colOff>
      <xdr:row>14</xdr:row>
      <xdr:rowOff>154305</xdr:rowOff>
    </xdr:from>
    <xdr:to>
      <xdr:col>2</xdr:col>
      <xdr:colOff>3619501</xdr:colOff>
      <xdr:row>14</xdr:row>
      <xdr:rowOff>3188098</xdr:rowOff>
    </xdr:to>
    <xdr:pic>
      <xdr:nvPicPr>
        <xdr:cNvPr id="2052" name="Рисунок 7" descr="тип5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164955" y="8117205"/>
          <a:ext cx="1674496" cy="3033793"/>
        </a:xfrm>
        <a:prstGeom prst="rect">
          <a:avLst/>
        </a:prstGeom>
        <a:noFill/>
      </xdr:spPr>
    </xdr:pic>
    <xdr:clientData/>
  </xdr:twoCellAnchor>
  <xdr:twoCellAnchor>
    <xdr:from>
      <xdr:col>1</xdr:col>
      <xdr:colOff>2042160</xdr:colOff>
      <xdr:row>14</xdr:row>
      <xdr:rowOff>120015</xdr:rowOff>
    </xdr:from>
    <xdr:to>
      <xdr:col>1</xdr:col>
      <xdr:colOff>3562350</xdr:colOff>
      <xdr:row>14</xdr:row>
      <xdr:rowOff>3000015</xdr:rowOff>
    </xdr:to>
    <xdr:pic>
      <xdr:nvPicPr>
        <xdr:cNvPr id="2051" name="Рисунок 9" descr="тип6.pn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204210" y="8101965"/>
          <a:ext cx="1520190" cy="2880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1693544</xdr:colOff>
      <xdr:row>18</xdr:row>
      <xdr:rowOff>207644</xdr:rowOff>
    </xdr:from>
    <xdr:to>
      <xdr:col>1</xdr:col>
      <xdr:colOff>3276599</xdr:colOff>
      <xdr:row>18</xdr:row>
      <xdr:rowOff>3046819</xdr:rowOff>
    </xdr:to>
    <xdr:pic>
      <xdr:nvPicPr>
        <xdr:cNvPr id="2050" name="Рисунок 11" descr="тип7.pn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855594" y="12532994"/>
          <a:ext cx="1583055" cy="28391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1954530</xdr:colOff>
      <xdr:row>18</xdr:row>
      <xdr:rowOff>207644</xdr:rowOff>
    </xdr:from>
    <xdr:to>
      <xdr:col>2</xdr:col>
      <xdr:colOff>3505200</xdr:colOff>
      <xdr:row>18</xdr:row>
      <xdr:rowOff>3036339</xdr:rowOff>
    </xdr:to>
    <xdr:pic>
      <xdr:nvPicPr>
        <xdr:cNvPr id="2049" name="Рисунок 12" descr="тип8.pn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174480" y="12532994"/>
          <a:ext cx="1550670" cy="282869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142875</xdr:colOff>
      <xdr:row>0</xdr:row>
      <xdr:rowOff>81915</xdr:rowOff>
    </xdr:from>
    <xdr:to>
      <xdr:col>3</xdr:col>
      <xdr:colOff>2990850</xdr:colOff>
      <xdr:row>2</xdr:row>
      <xdr:rowOff>72726</xdr:rowOff>
    </xdr:to>
    <xdr:pic>
      <xdr:nvPicPr>
        <xdr:cNvPr id="1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810375" y="81915"/>
          <a:ext cx="2847975" cy="7147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2019815</xdr:colOff>
      <xdr:row>18</xdr:row>
      <xdr:rowOff>220010</xdr:rowOff>
    </xdr:from>
    <xdr:to>
      <xdr:col>3</xdr:col>
      <xdr:colOff>3676650</xdr:colOff>
      <xdr:row>18</xdr:row>
      <xdr:rowOff>2973300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97665" y="12545360"/>
          <a:ext cx="1656835" cy="27532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904875</xdr:colOff>
      <xdr:row>0</xdr:row>
      <xdr:rowOff>0</xdr:rowOff>
    </xdr:from>
    <xdr:to>
      <xdr:col>13</xdr:col>
      <xdr:colOff>101579</xdr:colOff>
      <xdr:row>2</xdr:row>
      <xdr:rowOff>266700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440025" y="0"/>
          <a:ext cx="3978254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1515349</xdr:colOff>
      <xdr:row>0</xdr:row>
      <xdr:rowOff>223838</xdr:rowOff>
    </xdr:from>
    <xdr:to>
      <xdr:col>10</xdr:col>
      <xdr:colOff>1309687</xdr:colOff>
      <xdr:row>2</xdr:row>
      <xdr:rowOff>309563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279099" y="223838"/>
          <a:ext cx="3461463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1719726</xdr:colOff>
      <xdr:row>0</xdr:row>
      <xdr:rowOff>176213</xdr:rowOff>
    </xdr:from>
    <xdr:to>
      <xdr:col>9</xdr:col>
      <xdr:colOff>1438274</xdr:colOff>
      <xdr:row>2</xdr:row>
      <xdr:rowOff>242887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74039" y="176213"/>
          <a:ext cx="3528548" cy="781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1314450</xdr:colOff>
      <xdr:row>0</xdr:row>
      <xdr:rowOff>176214</xdr:rowOff>
    </xdr:from>
    <xdr:to>
      <xdr:col>8</xdr:col>
      <xdr:colOff>209551</xdr:colOff>
      <xdr:row>2</xdr:row>
      <xdr:rowOff>114301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73525" y="176214"/>
          <a:ext cx="2990851" cy="1014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1314450</xdr:colOff>
      <xdr:row>0</xdr:row>
      <xdr:rowOff>176214</xdr:rowOff>
    </xdr:from>
    <xdr:to>
      <xdr:col>8</xdr:col>
      <xdr:colOff>209551</xdr:colOff>
      <xdr:row>2</xdr:row>
      <xdr:rowOff>114301</xdr:rowOff>
    </xdr:to>
    <xdr:pic>
      <xdr:nvPicPr>
        <xdr:cNvPr id="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21100" y="176214"/>
          <a:ext cx="3009901" cy="1023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222060</xdr:colOff>
      <xdr:row>0</xdr:row>
      <xdr:rowOff>38100</xdr:rowOff>
    </xdr:from>
    <xdr:to>
      <xdr:col>9</xdr:col>
      <xdr:colOff>457200</xdr:colOff>
      <xdr:row>2</xdr:row>
      <xdr:rowOff>228600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08510" y="38100"/>
          <a:ext cx="316884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2086380</xdr:colOff>
      <xdr:row>0</xdr:row>
      <xdr:rowOff>104774</xdr:rowOff>
    </xdr:from>
    <xdr:to>
      <xdr:col>4</xdr:col>
      <xdr:colOff>1495426</xdr:colOff>
      <xdr:row>3</xdr:row>
      <xdr:rowOff>38099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68580" y="104774"/>
          <a:ext cx="3809596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723898</xdr:colOff>
      <xdr:row>11</xdr:row>
      <xdr:rowOff>228600</xdr:rowOff>
    </xdr:from>
    <xdr:to>
      <xdr:col>0</xdr:col>
      <xdr:colOff>2015446</xdr:colOff>
      <xdr:row>14</xdr:row>
      <xdr:rowOff>502650</xdr:rowOff>
    </xdr:to>
    <xdr:pic>
      <xdr:nvPicPr>
        <xdr:cNvPr id="4" name="Рисунок 3" descr="классик_2й_стекло2.tif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6463" t="7496" r="15333" b="6954"/>
        <a:stretch/>
      </xdr:blipFill>
      <xdr:spPr>
        <a:xfrm>
          <a:off x="723898" y="6000750"/>
          <a:ext cx="1291548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685798</xdr:colOff>
      <xdr:row>15</xdr:row>
      <xdr:rowOff>133348</xdr:rowOff>
    </xdr:from>
    <xdr:to>
      <xdr:col>0</xdr:col>
      <xdr:colOff>1926650</xdr:colOff>
      <xdr:row>18</xdr:row>
      <xdr:rowOff>407398</xdr:rowOff>
    </xdr:to>
    <xdr:pic>
      <xdr:nvPicPr>
        <xdr:cNvPr id="7" name="Рисунок 6" descr="классик_стекло.tif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17639" t="8820" r="18862" b="8277"/>
        <a:stretch/>
      </xdr:blipFill>
      <xdr:spPr>
        <a:xfrm>
          <a:off x="685798" y="8420098"/>
          <a:ext cx="1240852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19</xdr:row>
      <xdr:rowOff>190500</xdr:rowOff>
    </xdr:from>
    <xdr:to>
      <xdr:col>0</xdr:col>
      <xdr:colOff>1867950</xdr:colOff>
      <xdr:row>22</xdr:row>
      <xdr:rowOff>464550</xdr:rowOff>
    </xdr:to>
    <xdr:pic>
      <xdr:nvPicPr>
        <xdr:cNvPr id="8" name="Рисунок 7" descr="прямоугольник_стекло.tif"/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9753" t="6174" r="18518" b="9159"/>
        <a:stretch/>
      </xdr:blipFill>
      <xdr:spPr>
        <a:xfrm>
          <a:off x="742950" y="10991850"/>
          <a:ext cx="1125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7</xdr:row>
      <xdr:rowOff>171448</xdr:rowOff>
    </xdr:from>
    <xdr:to>
      <xdr:col>0</xdr:col>
      <xdr:colOff>1926650</xdr:colOff>
      <xdr:row>10</xdr:row>
      <xdr:rowOff>445498</xdr:rowOff>
    </xdr:to>
    <xdr:pic>
      <xdr:nvPicPr>
        <xdr:cNvPr id="9" name="Рисунок 8" descr="без_рисунка_стекло.tif"/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8815" t="8377" r="17685" b="8719"/>
        <a:stretch/>
      </xdr:blipFill>
      <xdr:spPr>
        <a:xfrm>
          <a:off x="685800" y="3428998"/>
          <a:ext cx="124085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685799</xdr:colOff>
      <xdr:row>23</xdr:row>
      <xdr:rowOff>244473</xdr:rowOff>
    </xdr:from>
    <xdr:to>
      <xdr:col>0</xdr:col>
      <xdr:colOff>1862168</xdr:colOff>
      <xdr:row>26</xdr:row>
      <xdr:rowOff>518523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9" y="13560423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685799</xdr:colOff>
      <xdr:row>27</xdr:row>
      <xdr:rowOff>209548</xdr:rowOff>
    </xdr:from>
    <xdr:to>
      <xdr:col>0</xdr:col>
      <xdr:colOff>1862168</xdr:colOff>
      <xdr:row>30</xdr:row>
      <xdr:rowOff>483598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9" y="17297398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31</xdr:row>
      <xdr:rowOff>295273</xdr:rowOff>
    </xdr:from>
    <xdr:to>
      <xdr:col>0</xdr:col>
      <xdr:colOff>1852644</xdr:colOff>
      <xdr:row>34</xdr:row>
      <xdr:rowOff>569323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9897723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35</xdr:row>
      <xdr:rowOff>200025</xdr:rowOff>
    </xdr:from>
    <xdr:to>
      <xdr:col>0</xdr:col>
      <xdr:colOff>1833594</xdr:colOff>
      <xdr:row>38</xdr:row>
      <xdr:rowOff>474075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3517225"/>
          <a:ext cx="11763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39</xdr:row>
      <xdr:rowOff>285750</xdr:rowOff>
    </xdr:from>
    <xdr:to>
      <xdr:col>0</xdr:col>
      <xdr:colOff>1833594</xdr:colOff>
      <xdr:row>42</xdr:row>
      <xdr:rowOff>559800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3660100"/>
          <a:ext cx="1176369" cy="216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6</xdr:row>
      <xdr:rowOff>76200</xdr:rowOff>
    </xdr:from>
    <xdr:to>
      <xdr:col>1</xdr:col>
      <xdr:colOff>790575</xdr:colOff>
      <xdr:row>6</xdr:row>
      <xdr:rowOff>190500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93695" y="126492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57150</xdr:rowOff>
    </xdr:from>
    <xdr:to>
      <xdr:col>1</xdr:col>
      <xdr:colOff>771525</xdr:colOff>
      <xdr:row>7</xdr:row>
      <xdr:rowOff>190500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74645" y="257937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11</xdr:row>
      <xdr:rowOff>2343150</xdr:rowOff>
    </xdr:from>
    <xdr:to>
      <xdr:col>1</xdr:col>
      <xdr:colOff>1323975</xdr:colOff>
      <xdr:row>12</xdr:row>
      <xdr:rowOff>190500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3329940" y="9968865"/>
          <a:ext cx="1943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10</xdr:row>
      <xdr:rowOff>247650</xdr:rowOff>
    </xdr:from>
    <xdr:to>
      <xdr:col>1</xdr:col>
      <xdr:colOff>1085850</xdr:colOff>
      <xdr:row>10</xdr:row>
      <xdr:rowOff>247650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188970" y="707517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10</xdr:row>
      <xdr:rowOff>1143000</xdr:rowOff>
    </xdr:from>
    <xdr:to>
      <xdr:col>1</xdr:col>
      <xdr:colOff>1190625</xdr:colOff>
      <xdr:row>10</xdr:row>
      <xdr:rowOff>1171575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293745" y="797052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</xdr:row>
      <xdr:rowOff>1266825</xdr:rowOff>
    </xdr:from>
    <xdr:to>
      <xdr:col>1</xdr:col>
      <xdr:colOff>609600</xdr:colOff>
      <xdr:row>10</xdr:row>
      <xdr:rowOff>1268730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12645" y="8094345"/>
          <a:ext cx="600075" cy="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12</xdr:row>
      <xdr:rowOff>1428750</xdr:rowOff>
    </xdr:from>
    <xdr:to>
      <xdr:col>1</xdr:col>
      <xdr:colOff>1162050</xdr:colOff>
      <xdr:row>12</xdr:row>
      <xdr:rowOff>1436370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65170" y="11304270"/>
          <a:ext cx="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</xdr:row>
      <xdr:rowOff>1257300</xdr:rowOff>
    </xdr:from>
    <xdr:to>
      <xdr:col>1</xdr:col>
      <xdr:colOff>609600</xdr:colOff>
      <xdr:row>12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2455545" y="1087564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9</xdr:row>
      <xdr:rowOff>876300</xdr:rowOff>
    </xdr:from>
    <xdr:to>
      <xdr:col>1</xdr:col>
      <xdr:colOff>1209675</xdr:colOff>
      <xdr:row>9</xdr:row>
      <xdr:rowOff>876300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312795" y="61798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11</xdr:row>
      <xdr:rowOff>1476375</xdr:rowOff>
    </xdr:from>
    <xdr:to>
      <xdr:col>1</xdr:col>
      <xdr:colOff>1143000</xdr:colOff>
      <xdr:row>11</xdr:row>
      <xdr:rowOff>1480185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46120" y="9827895"/>
          <a:ext cx="0" cy="3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3905250</xdr:colOff>
      <xdr:row>0</xdr:row>
      <xdr:rowOff>247650</xdr:rowOff>
    </xdr:from>
    <xdr:to>
      <xdr:col>10</xdr:col>
      <xdr:colOff>766503</xdr:colOff>
      <xdr:row>2</xdr:row>
      <xdr:rowOff>266700</xdr:rowOff>
    </xdr:to>
    <xdr:pic>
      <xdr:nvPicPr>
        <xdr:cNvPr id="12" name="Рисунок 1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820900" y="247650"/>
          <a:ext cx="3814503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1076325</xdr:colOff>
      <xdr:row>8</xdr:row>
      <xdr:rowOff>381000</xdr:rowOff>
    </xdr:from>
    <xdr:to>
      <xdr:col>1</xdr:col>
      <xdr:colOff>2381250</xdr:colOff>
      <xdr:row>8</xdr:row>
      <xdr:rowOff>1278255</xdr:rowOff>
    </xdr:to>
    <xdr:pic>
      <xdr:nvPicPr>
        <xdr:cNvPr id="13" name="Рисунок 12" descr="декор 4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90825" y="6134100"/>
          <a:ext cx="1304925" cy="897255"/>
        </a:xfrm>
        <a:prstGeom prst="rect">
          <a:avLst/>
        </a:prstGeom>
      </xdr:spPr>
    </xdr:pic>
    <xdr:clientData/>
  </xdr:twoCellAnchor>
  <xdr:twoCellAnchor editAs="oneCell">
    <xdr:from>
      <xdr:col>1</xdr:col>
      <xdr:colOff>1108709</xdr:colOff>
      <xdr:row>14</xdr:row>
      <xdr:rowOff>85725</xdr:rowOff>
    </xdr:from>
    <xdr:to>
      <xdr:col>1</xdr:col>
      <xdr:colOff>2535816</xdr:colOff>
      <xdr:row>14</xdr:row>
      <xdr:rowOff>1400174</xdr:rowOff>
    </xdr:to>
    <xdr:pic>
      <xdr:nvPicPr>
        <xdr:cNvPr id="14" name="Рисунок 13" descr="декор 11 фрукты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23209" y="14982825"/>
          <a:ext cx="1427107" cy="1314449"/>
        </a:xfrm>
        <a:prstGeom prst="rect">
          <a:avLst/>
        </a:prstGeom>
      </xdr:spPr>
    </xdr:pic>
    <xdr:clientData/>
  </xdr:twoCellAnchor>
  <xdr:twoCellAnchor editAs="oneCell">
    <xdr:from>
      <xdr:col>1</xdr:col>
      <xdr:colOff>1476375</xdr:colOff>
      <xdr:row>7</xdr:row>
      <xdr:rowOff>150328</xdr:rowOff>
    </xdr:from>
    <xdr:to>
      <xdr:col>1</xdr:col>
      <xdr:colOff>2190751</xdr:colOff>
      <xdr:row>7</xdr:row>
      <xdr:rowOff>1206362</xdr:rowOff>
    </xdr:to>
    <xdr:pic>
      <xdr:nvPicPr>
        <xdr:cNvPr id="15" name="Рисунок 14" descr="декор 3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90875" y="4379428"/>
          <a:ext cx="714376" cy="105603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6</xdr:row>
      <xdr:rowOff>171450</xdr:rowOff>
    </xdr:from>
    <xdr:to>
      <xdr:col>1</xdr:col>
      <xdr:colOff>2143125</xdr:colOff>
      <xdr:row>6</xdr:row>
      <xdr:rowOff>1285875</xdr:rowOff>
    </xdr:to>
    <xdr:pic>
      <xdr:nvPicPr>
        <xdr:cNvPr id="16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0" y="2876550"/>
          <a:ext cx="9048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1316337</xdr:colOff>
      <xdr:row>7</xdr:row>
      <xdr:rowOff>190500</xdr:rowOff>
    </xdr:from>
    <xdr:to>
      <xdr:col>7</xdr:col>
      <xdr:colOff>2476500</xdr:colOff>
      <xdr:row>7</xdr:row>
      <xdr:rowOff>1318732</xdr:rowOff>
    </xdr:to>
    <xdr:pic>
      <xdr:nvPicPr>
        <xdr:cNvPr id="17" name="Рисунок 16" descr="декор 18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231987" y="4419600"/>
          <a:ext cx="1160163" cy="1128232"/>
        </a:xfrm>
        <a:prstGeom prst="rect">
          <a:avLst/>
        </a:prstGeom>
      </xdr:spPr>
    </xdr:pic>
    <xdr:clientData/>
  </xdr:twoCellAnchor>
  <xdr:twoCellAnchor editAs="oneCell">
    <xdr:from>
      <xdr:col>7</xdr:col>
      <xdr:colOff>1208182</xdr:colOff>
      <xdr:row>8</xdr:row>
      <xdr:rowOff>229000</xdr:rowOff>
    </xdr:from>
    <xdr:to>
      <xdr:col>7</xdr:col>
      <xdr:colOff>2386965</xdr:colOff>
      <xdr:row>8</xdr:row>
      <xdr:rowOff>1376763</xdr:rowOff>
    </xdr:to>
    <xdr:pic>
      <xdr:nvPicPr>
        <xdr:cNvPr id="18" name="Рисунок 17" descr="декор 19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123832" y="5982100"/>
          <a:ext cx="1178783" cy="1147763"/>
        </a:xfrm>
        <a:prstGeom prst="rect">
          <a:avLst/>
        </a:prstGeom>
      </xdr:spPr>
    </xdr:pic>
    <xdr:clientData/>
  </xdr:twoCellAnchor>
  <xdr:twoCellAnchor editAs="oneCell">
    <xdr:from>
      <xdr:col>1</xdr:col>
      <xdr:colOff>1019175</xdr:colOff>
      <xdr:row>16</xdr:row>
      <xdr:rowOff>161925</xdr:rowOff>
    </xdr:from>
    <xdr:to>
      <xdr:col>1</xdr:col>
      <xdr:colOff>2324100</xdr:colOff>
      <xdr:row>16</xdr:row>
      <xdr:rowOff>1457324</xdr:rowOff>
    </xdr:to>
    <xdr:pic>
      <xdr:nvPicPr>
        <xdr:cNvPr id="19" name="Рисунок 18" descr="декор 13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33675" y="18107025"/>
          <a:ext cx="1304925" cy="1295399"/>
        </a:xfrm>
        <a:prstGeom prst="rect">
          <a:avLst/>
        </a:prstGeom>
      </xdr:spPr>
    </xdr:pic>
    <xdr:clientData/>
  </xdr:twoCellAnchor>
  <xdr:twoCellAnchor editAs="oneCell">
    <xdr:from>
      <xdr:col>1</xdr:col>
      <xdr:colOff>1153160</xdr:colOff>
      <xdr:row>9</xdr:row>
      <xdr:rowOff>262255</xdr:rowOff>
    </xdr:from>
    <xdr:to>
      <xdr:col>1</xdr:col>
      <xdr:colOff>2273300</xdr:colOff>
      <xdr:row>9</xdr:row>
      <xdr:rowOff>1303655</xdr:rowOff>
    </xdr:to>
    <xdr:pic>
      <xdr:nvPicPr>
        <xdr:cNvPr id="20" name="Рисунок 19" descr="декор 5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6200000">
          <a:off x="2907030" y="7499985"/>
          <a:ext cx="1041400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1176335</xdr:colOff>
      <xdr:row>10</xdr:row>
      <xdr:rowOff>166689</xdr:rowOff>
    </xdr:from>
    <xdr:to>
      <xdr:col>1</xdr:col>
      <xdr:colOff>2171699</xdr:colOff>
      <xdr:row>10</xdr:row>
      <xdr:rowOff>1462089</xdr:rowOff>
    </xdr:to>
    <xdr:pic>
      <xdr:nvPicPr>
        <xdr:cNvPr id="21" name="Рисунок 20" descr="декор 7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0800000">
          <a:off x="2890835" y="8967789"/>
          <a:ext cx="995364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1167764</xdr:colOff>
      <xdr:row>12</xdr:row>
      <xdr:rowOff>28575</xdr:rowOff>
    </xdr:from>
    <xdr:to>
      <xdr:col>1</xdr:col>
      <xdr:colOff>2295525</xdr:colOff>
      <xdr:row>12</xdr:row>
      <xdr:rowOff>1464310</xdr:rowOff>
    </xdr:to>
    <xdr:pic>
      <xdr:nvPicPr>
        <xdr:cNvPr id="22" name="Рисунок 21" descr="декор 9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82264" y="11877675"/>
          <a:ext cx="1127761" cy="1435735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1085851</xdr:colOff>
      <xdr:row>15</xdr:row>
      <xdr:rowOff>219074</xdr:rowOff>
    </xdr:from>
    <xdr:to>
      <xdr:col>1</xdr:col>
      <xdr:colOff>2194284</xdr:colOff>
      <xdr:row>15</xdr:row>
      <xdr:rowOff>1276349</xdr:rowOff>
    </xdr:to>
    <xdr:pic>
      <xdr:nvPicPr>
        <xdr:cNvPr id="23" name="Рисунок 22" descr="декор 12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00351" y="16640174"/>
          <a:ext cx="1108433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1276349</xdr:colOff>
      <xdr:row>11</xdr:row>
      <xdr:rowOff>117478</xdr:rowOff>
    </xdr:from>
    <xdr:to>
      <xdr:col>1</xdr:col>
      <xdr:colOff>2257424</xdr:colOff>
      <xdr:row>11</xdr:row>
      <xdr:rowOff>1400178</xdr:rowOff>
    </xdr:to>
    <xdr:pic>
      <xdr:nvPicPr>
        <xdr:cNvPr id="24" name="Рисунок 23" descr="декор 8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2840037" y="10593390"/>
          <a:ext cx="128270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1234440</xdr:colOff>
      <xdr:row>13</xdr:row>
      <xdr:rowOff>19049</xdr:rowOff>
    </xdr:from>
    <xdr:to>
      <xdr:col>1</xdr:col>
      <xdr:colOff>2446020</xdr:colOff>
      <xdr:row>13</xdr:row>
      <xdr:rowOff>1485898</xdr:rowOff>
    </xdr:to>
    <xdr:pic>
      <xdr:nvPicPr>
        <xdr:cNvPr id="25" name="Рисунок 24" descr="декор 10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10800000">
          <a:off x="2948940" y="13392149"/>
          <a:ext cx="1211580" cy="1466849"/>
        </a:xfrm>
        <a:prstGeom prst="rect">
          <a:avLst/>
        </a:prstGeom>
      </xdr:spPr>
    </xdr:pic>
    <xdr:clientData/>
  </xdr:twoCellAnchor>
  <xdr:twoCellAnchor editAs="oneCell">
    <xdr:from>
      <xdr:col>1</xdr:col>
      <xdr:colOff>520064</xdr:colOff>
      <xdr:row>17</xdr:row>
      <xdr:rowOff>106202</xdr:rowOff>
    </xdr:from>
    <xdr:to>
      <xdr:col>1</xdr:col>
      <xdr:colOff>2766273</xdr:colOff>
      <xdr:row>17</xdr:row>
      <xdr:rowOff>1369695</xdr:rowOff>
    </xdr:to>
    <xdr:pic>
      <xdr:nvPicPr>
        <xdr:cNvPr id="26" name="Рисунок 25" descr="декор левый 14 (1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34564" y="19575302"/>
          <a:ext cx="2246209" cy="1263493"/>
        </a:xfrm>
        <a:prstGeom prst="rect">
          <a:avLst/>
        </a:prstGeom>
      </xdr:spPr>
    </xdr:pic>
    <xdr:clientData/>
  </xdr:twoCellAnchor>
  <xdr:twoCellAnchor editAs="oneCell">
    <xdr:from>
      <xdr:col>1</xdr:col>
      <xdr:colOff>680085</xdr:colOff>
      <xdr:row>18</xdr:row>
      <xdr:rowOff>49529</xdr:rowOff>
    </xdr:from>
    <xdr:to>
      <xdr:col>1</xdr:col>
      <xdr:colOff>3016884</xdr:colOff>
      <xdr:row>18</xdr:row>
      <xdr:rowOff>1363979</xdr:rowOff>
    </xdr:to>
    <xdr:pic>
      <xdr:nvPicPr>
        <xdr:cNvPr id="27" name="Рисунок 26" descr="декор левый 14 (2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394585" y="21042629"/>
          <a:ext cx="2336799" cy="1314450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466725</xdr:colOff>
      <xdr:row>9</xdr:row>
      <xdr:rowOff>76199</xdr:rowOff>
    </xdr:from>
    <xdr:to>
      <xdr:col>7</xdr:col>
      <xdr:colOff>3200400</xdr:colOff>
      <xdr:row>9</xdr:row>
      <xdr:rowOff>1438274</xdr:rowOff>
    </xdr:to>
    <xdr:pic>
      <xdr:nvPicPr>
        <xdr:cNvPr id="28" name="Рисунок 27" descr="РАКУШКА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382375" y="7353299"/>
          <a:ext cx="2733675" cy="1362075"/>
        </a:xfrm>
        <a:prstGeom prst="rect">
          <a:avLst/>
        </a:prstGeom>
      </xdr:spPr>
    </xdr:pic>
    <xdr:clientData/>
  </xdr:twoCellAnchor>
  <xdr:twoCellAnchor editAs="oneCell">
    <xdr:from>
      <xdr:col>7</xdr:col>
      <xdr:colOff>327065</xdr:colOff>
      <xdr:row>10</xdr:row>
      <xdr:rowOff>76200</xdr:rowOff>
    </xdr:from>
    <xdr:to>
      <xdr:col>7</xdr:col>
      <xdr:colOff>3354707</xdr:colOff>
      <xdr:row>10</xdr:row>
      <xdr:rowOff>1495425</xdr:rowOff>
    </xdr:to>
    <xdr:pic>
      <xdr:nvPicPr>
        <xdr:cNvPr id="29" name="Рисунок 28" descr="малый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242715" y="8877300"/>
          <a:ext cx="3027642" cy="1419225"/>
        </a:xfrm>
        <a:prstGeom prst="rect">
          <a:avLst/>
        </a:prstGeom>
      </xdr:spPr>
    </xdr:pic>
    <xdr:clientData/>
  </xdr:twoCellAnchor>
  <xdr:twoCellAnchor editAs="oneCell">
    <xdr:from>
      <xdr:col>7</xdr:col>
      <xdr:colOff>560069</xdr:colOff>
      <xdr:row>11</xdr:row>
      <xdr:rowOff>144779</xdr:rowOff>
    </xdr:from>
    <xdr:to>
      <xdr:col>7</xdr:col>
      <xdr:colOff>3009900</xdr:colOff>
      <xdr:row>11</xdr:row>
      <xdr:rowOff>1495424</xdr:rowOff>
    </xdr:to>
    <xdr:pic>
      <xdr:nvPicPr>
        <xdr:cNvPr id="30" name="Рисунок 29" descr="средний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75719" y="10469879"/>
          <a:ext cx="2449831" cy="1350645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466725</xdr:colOff>
      <xdr:row>6</xdr:row>
      <xdr:rowOff>220980</xdr:rowOff>
    </xdr:from>
    <xdr:to>
      <xdr:col>7</xdr:col>
      <xdr:colOff>3400425</xdr:colOff>
      <xdr:row>6</xdr:row>
      <xdr:rowOff>1280160</xdr:rowOff>
    </xdr:to>
    <xdr:pic>
      <xdr:nvPicPr>
        <xdr:cNvPr id="31" name="Рисунок 30" descr="DSC_0113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382375" y="2926080"/>
          <a:ext cx="2933700" cy="1059180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12</xdr:row>
      <xdr:rowOff>238125</xdr:rowOff>
    </xdr:from>
    <xdr:to>
      <xdr:col>7</xdr:col>
      <xdr:colOff>3966917</xdr:colOff>
      <xdr:row>12</xdr:row>
      <xdr:rowOff>1333500</xdr:rowOff>
    </xdr:to>
    <xdr:pic>
      <xdr:nvPicPr>
        <xdr:cNvPr id="32" name="Рисунок 31" descr="DSC_0151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020425" y="12087225"/>
          <a:ext cx="3862142" cy="1095375"/>
        </a:xfrm>
        <a:prstGeom prst="rect">
          <a:avLst/>
        </a:prstGeom>
      </xdr:spPr>
    </xdr:pic>
    <xdr:clientData/>
  </xdr:twoCellAnchor>
  <xdr:twoCellAnchor editAs="oneCell">
    <xdr:from>
      <xdr:col>7</xdr:col>
      <xdr:colOff>1583922</xdr:colOff>
      <xdr:row>13</xdr:row>
      <xdr:rowOff>314324</xdr:rowOff>
    </xdr:from>
    <xdr:to>
      <xdr:col>7</xdr:col>
      <xdr:colOff>2842608</xdr:colOff>
      <xdr:row>13</xdr:row>
      <xdr:rowOff>1066799</xdr:rowOff>
    </xdr:to>
    <xdr:pic>
      <xdr:nvPicPr>
        <xdr:cNvPr id="33" name="Рисунок 32" descr="DSC_014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687042" y="31320104"/>
          <a:ext cx="1258686" cy="752475"/>
        </a:xfrm>
        <a:prstGeom prst="rect">
          <a:avLst/>
        </a:prstGeom>
      </xdr:spPr>
    </xdr:pic>
    <xdr:clientData/>
  </xdr:twoCellAnchor>
  <xdr:twoCellAnchor editAs="oneCell">
    <xdr:from>
      <xdr:col>7</xdr:col>
      <xdr:colOff>981075</xdr:colOff>
      <xdr:row>14</xdr:row>
      <xdr:rowOff>90488</xdr:rowOff>
    </xdr:from>
    <xdr:to>
      <xdr:col>7</xdr:col>
      <xdr:colOff>3505200</xdr:colOff>
      <xdr:row>14</xdr:row>
      <xdr:rowOff>1510308</xdr:rowOff>
    </xdr:to>
    <xdr:pic>
      <xdr:nvPicPr>
        <xdr:cNvPr id="34" name="Рисунок 33" descr="DSC_0148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84195" y="32521208"/>
          <a:ext cx="2524125" cy="1419820"/>
        </a:xfrm>
        <a:prstGeom prst="rect">
          <a:avLst/>
        </a:prstGeom>
      </xdr:spPr>
    </xdr:pic>
    <xdr:clientData/>
  </xdr:twoCellAnchor>
  <xdr:twoCellAnchor editAs="oneCell">
    <xdr:from>
      <xdr:col>7</xdr:col>
      <xdr:colOff>1051561</xdr:colOff>
      <xdr:row>15</xdr:row>
      <xdr:rowOff>43422</xdr:rowOff>
    </xdr:from>
    <xdr:to>
      <xdr:col>7</xdr:col>
      <xdr:colOff>3482340</xdr:colOff>
      <xdr:row>15</xdr:row>
      <xdr:rowOff>1514304</xdr:rowOff>
    </xdr:to>
    <xdr:pic>
      <xdr:nvPicPr>
        <xdr:cNvPr id="35" name="Рисунок 34" descr="декор 2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154681" y="34051482"/>
          <a:ext cx="2430779" cy="1470882"/>
        </a:xfrm>
        <a:prstGeom prst="rect">
          <a:avLst/>
        </a:prstGeom>
      </xdr:spPr>
    </xdr:pic>
    <xdr:clientData/>
  </xdr:twoCellAnchor>
  <xdr:twoCellAnchor editAs="oneCell">
    <xdr:from>
      <xdr:col>7</xdr:col>
      <xdr:colOff>1074421</xdr:colOff>
      <xdr:row>16</xdr:row>
      <xdr:rowOff>0</xdr:rowOff>
    </xdr:from>
    <xdr:to>
      <xdr:col>7</xdr:col>
      <xdr:colOff>3436621</xdr:colOff>
      <xdr:row>16</xdr:row>
      <xdr:rowOff>1451358</xdr:rowOff>
    </xdr:to>
    <xdr:pic>
      <xdr:nvPicPr>
        <xdr:cNvPr id="36" name="Рисунок 35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5585400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7</xdr:col>
      <xdr:colOff>1043940</xdr:colOff>
      <xdr:row>16</xdr:row>
      <xdr:rowOff>65533</xdr:rowOff>
    </xdr:from>
    <xdr:to>
      <xdr:col>7</xdr:col>
      <xdr:colOff>3444239</xdr:colOff>
      <xdr:row>16</xdr:row>
      <xdr:rowOff>1519578</xdr:rowOff>
    </xdr:to>
    <xdr:pic>
      <xdr:nvPicPr>
        <xdr:cNvPr id="37" name="Рисунок 36" descr="декор 27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147060" y="35650933"/>
          <a:ext cx="2400299" cy="1454045"/>
        </a:xfrm>
        <a:prstGeom prst="rect">
          <a:avLst/>
        </a:prstGeom>
      </xdr:spPr>
    </xdr:pic>
    <xdr:clientData/>
  </xdr:twoCellAnchor>
  <xdr:twoCellAnchor editAs="oneCell">
    <xdr:from>
      <xdr:col>7</xdr:col>
      <xdr:colOff>1074421</xdr:colOff>
      <xdr:row>17</xdr:row>
      <xdr:rowOff>87882</xdr:rowOff>
    </xdr:from>
    <xdr:to>
      <xdr:col>7</xdr:col>
      <xdr:colOff>3436621</xdr:colOff>
      <xdr:row>17</xdr:row>
      <xdr:rowOff>1539240</xdr:rowOff>
    </xdr:to>
    <xdr:pic>
      <xdr:nvPicPr>
        <xdr:cNvPr id="38" name="Рисунок 37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7250622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7</xdr:col>
      <xdr:colOff>1013460</xdr:colOff>
      <xdr:row>18</xdr:row>
      <xdr:rowOff>114300</xdr:rowOff>
    </xdr:from>
    <xdr:to>
      <xdr:col>7</xdr:col>
      <xdr:colOff>3449702</xdr:colOff>
      <xdr:row>18</xdr:row>
      <xdr:rowOff>1478280</xdr:rowOff>
    </xdr:to>
    <xdr:pic>
      <xdr:nvPicPr>
        <xdr:cNvPr id="39" name="Рисунок 38" descr="декор31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116580" y="38854380"/>
          <a:ext cx="2436242" cy="13639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at-mebel.fasad@mail.ru" TargetMode="External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80"/>
  <sheetViews>
    <sheetView tabSelected="1" topLeftCell="A31" zoomScale="40" zoomScaleNormal="40" workbookViewId="0">
      <selection activeCell="A58" sqref="A58:L58"/>
    </sheetView>
  </sheetViews>
  <sheetFormatPr defaultRowHeight="15" x14ac:dyDescent="0.25"/>
  <cols>
    <col min="1" max="1" width="41.5703125" customWidth="1"/>
    <col min="2" max="2" width="33.28515625" customWidth="1"/>
    <col min="3" max="7" width="29.7109375" customWidth="1"/>
    <col min="8" max="10" width="33.5703125" customWidth="1"/>
    <col min="11" max="11" width="37.140625" customWidth="1"/>
    <col min="12" max="12" width="32" customWidth="1"/>
    <col min="13" max="13" width="0.42578125" hidden="1" customWidth="1"/>
  </cols>
  <sheetData>
    <row r="1" spans="1:15" ht="27.75" x14ac:dyDescent="0.4">
      <c r="A1" s="329" t="s">
        <v>441</v>
      </c>
      <c r="B1" s="329"/>
      <c r="C1" s="329"/>
      <c r="D1" s="329"/>
      <c r="E1" s="329"/>
      <c r="F1" s="50"/>
      <c r="G1" s="50"/>
      <c r="H1" s="50"/>
      <c r="I1" s="50"/>
      <c r="J1" s="50"/>
      <c r="K1" s="50"/>
      <c r="L1" s="50"/>
      <c r="M1" s="50"/>
      <c r="N1" s="50"/>
      <c r="O1" s="50"/>
    </row>
    <row r="2" spans="1:15" ht="25.5" customHeight="1" x14ac:dyDescent="0.4">
      <c r="A2" s="329" t="s">
        <v>306</v>
      </c>
      <c r="B2" s="329"/>
      <c r="C2" s="329"/>
      <c r="D2" s="329"/>
      <c r="E2" s="51"/>
      <c r="F2" s="50"/>
      <c r="G2" s="50"/>
      <c r="H2" s="50"/>
      <c r="I2" s="50"/>
      <c r="J2" s="50"/>
      <c r="K2" s="50"/>
      <c r="L2" s="50"/>
      <c r="M2" s="50"/>
      <c r="N2" s="50"/>
      <c r="O2" s="50"/>
    </row>
    <row r="3" spans="1:15" ht="24" customHeight="1" x14ac:dyDescent="0.25">
      <c r="A3" s="330" t="s">
        <v>9</v>
      </c>
      <c r="B3" s="330"/>
      <c r="C3" s="330"/>
      <c r="D3" s="330"/>
      <c r="E3" s="330"/>
      <c r="F3" s="50"/>
      <c r="G3" s="50"/>
      <c r="H3" s="50"/>
      <c r="I3" s="50"/>
      <c r="J3" s="50"/>
      <c r="K3" s="50"/>
      <c r="L3" s="50"/>
      <c r="M3" s="50"/>
      <c r="N3" s="50"/>
      <c r="O3" s="50"/>
    </row>
    <row r="4" spans="1:15" ht="61.5" customHeight="1" x14ac:dyDescent="0.25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</row>
    <row r="5" spans="1:15" ht="61.5" customHeight="1" x14ac:dyDescent="0.45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339" t="s">
        <v>548</v>
      </c>
      <c r="M5" s="339"/>
      <c r="N5" s="50"/>
      <c r="O5" s="50"/>
    </row>
    <row r="6" spans="1:15" ht="15" customHeight="1" x14ac:dyDescent="0.25">
      <c r="A6" s="333" t="s">
        <v>318</v>
      </c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50"/>
      <c r="O6" s="50"/>
    </row>
    <row r="7" spans="1:15" ht="15" customHeight="1" x14ac:dyDescent="0.25">
      <c r="A7" s="333"/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50"/>
      <c r="O7" s="50"/>
    </row>
    <row r="8" spans="1:15" ht="32.25" customHeight="1" x14ac:dyDescent="0.45">
      <c r="A8" s="317" t="s">
        <v>443</v>
      </c>
      <c r="B8" s="318"/>
      <c r="C8" s="318"/>
      <c r="D8" s="318"/>
      <c r="E8" s="318"/>
      <c r="F8" s="318"/>
      <c r="G8" s="318"/>
      <c r="H8" s="318"/>
      <c r="I8" s="318"/>
      <c r="J8" s="318"/>
      <c r="K8" s="318"/>
      <c r="L8" s="318"/>
      <c r="M8" s="103"/>
      <c r="N8" s="50"/>
      <c r="O8" s="50"/>
    </row>
    <row r="9" spans="1:15" ht="33" customHeight="1" x14ac:dyDescent="0.45">
      <c r="A9" s="334" t="s">
        <v>369</v>
      </c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103"/>
      <c r="N9" s="50"/>
      <c r="O9" s="50"/>
    </row>
    <row r="10" spans="1:15" ht="64.5" customHeight="1" thickBot="1" x14ac:dyDescent="0.4">
      <c r="A10" s="331" t="s">
        <v>502</v>
      </c>
      <c r="B10" s="331"/>
      <c r="C10" s="331"/>
      <c r="D10" s="331"/>
      <c r="E10" s="331"/>
      <c r="F10" s="332"/>
      <c r="G10" s="332"/>
      <c r="H10" s="332"/>
      <c r="I10" s="332"/>
      <c r="J10" s="332"/>
      <c r="K10" s="332"/>
      <c r="L10" s="332"/>
      <c r="M10" s="50"/>
      <c r="N10" s="50"/>
      <c r="O10" s="50"/>
    </row>
    <row r="11" spans="1:15" ht="141" customHeight="1" x14ac:dyDescent="0.25">
      <c r="A11" s="64" t="s">
        <v>77</v>
      </c>
      <c r="B11" s="237" t="s">
        <v>482</v>
      </c>
      <c r="C11" s="47" t="s">
        <v>484</v>
      </c>
      <c r="D11" s="7" t="s">
        <v>485</v>
      </c>
      <c r="E11" s="7" t="s">
        <v>486</v>
      </c>
      <c r="F11" s="7" t="s">
        <v>487</v>
      </c>
      <c r="G11" s="265" t="s">
        <v>488</v>
      </c>
      <c r="H11" s="265" t="s">
        <v>489</v>
      </c>
      <c r="I11" s="236" t="s">
        <v>327</v>
      </c>
      <c r="J11" s="7" t="s">
        <v>72</v>
      </c>
      <c r="K11" s="48" t="s">
        <v>73</v>
      </c>
      <c r="L11" s="48" t="s">
        <v>439</v>
      </c>
      <c r="M11" s="48" t="s">
        <v>439</v>
      </c>
      <c r="N11" s="50"/>
      <c r="O11" s="50"/>
    </row>
    <row r="12" spans="1:15" ht="36" customHeight="1" thickBot="1" x14ac:dyDescent="0.4">
      <c r="A12" s="320" t="s">
        <v>312</v>
      </c>
      <c r="B12" s="321"/>
      <c r="C12" s="321"/>
      <c r="D12" s="321"/>
      <c r="E12" s="321"/>
      <c r="F12" s="321"/>
      <c r="G12" s="321"/>
      <c r="H12" s="321"/>
      <c r="I12" s="11"/>
      <c r="J12" s="322" t="s">
        <v>366</v>
      </c>
      <c r="K12" s="325" t="s">
        <v>550</v>
      </c>
      <c r="L12" s="322" t="s">
        <v>549</v>
      </c>
      <c r="M12" s="342" t="s">
        <v>440</v>
      </c>
      <c r="N12" s="50"/>
      <c r="O12" s="50"/>
    </row>
    <row r="13" spans="1:15" ht="36" customHeight="1" thickBot="1" x14ac:dyDescent="0.3">
      <c r="A13" s="5" t="s">
        <v>1</v>
      </c>
      <c r="B13" s="308"/>
      <c r="C13" s="154">
        <v>2610</v>
      </c>
      <c r="D13" s="155">
        <v>2850</v>
      </c>
      <c r="E13" s="156">
        <v>3190</v>
      </c>
      <c r="F13" s="157">
        <v>3315</v>
      </c>
      <c r="G13" s="157">
        <v>3700</v>
      </c>
      <c r="H13" s="158">
        <v>4180</v>
      </c>
      <c r="I13" s="159">
        <v>4850</v>
      </c>
      <c r="J13" s="323"/>
      <c r="K13" s="326"/>
      <c r="L13" s="323"/>
      <c r="M13" s="343"/>
      <c r="N13" s="50"/>
      <c r="O13" s="50"/>
    </row>
    <row r="14" spans="1:15" ht="36" customHeight="1" x14ac:dyDescent="0.35">
      <c r="A14" s="345" t="s">
        <v>313</v>
      </c>
      <c r="B14" s="346"/>
      <c r="C14" s="346"/>
      <c r="D14" s="346"/>
      <c r="E14" s="346"/>
      <c r="F14" s="346"/>
      <c r="G14" s="346"/>
      <c r="H14" s="346"/>
      <c r="I14" s="149"/>
      <c r="J14" s="323"/>
      <c r="K14" s="326"/>
      <c r="L14" s="323"/>
      <c r="M14" s="343"/>
      <c r="N14" s="50"/>
      <c r="O14" s="50"/>
    </row>
    <row r="15" spans="1:15" ht="36" customHeight="1" x14ac:dyDescent="0.5">
      <c r="A15" s="238" t="s">
        <v>1</v>
      </c>
      <c r="B15" s="239">
        <v>2450</v>
      </c>
      <c r="C15" s="240">
        <v>2640</v>
      </c>
      <c r="D15" s="241">
        <v>2980</v>
      </c>
      <c r="E15" s="239">
        <v>3240</v>
      </c>
      <c r="F15" s="239">
        <v>3365</v>
      </c>
      <c r="G15" s="239">
        <v>3750</v>
      </c>
      <c r="H15" s="239">
        <v>4230</v>
      </c>
      <c r="I15" s="239">
        <v>4650</v>
      </c>
      <c r="J15" s="323"/>
      <c r="K15" s="326"/>
      <c r="L15" s="323"/>
      <c r="M15" s="343"/>
      <c r="N15" s="50"/>
      <c r="O15" s="50"/>
    </row>
    <row r="16" spans="1:15" ht="36" customHeight="1" x14ac:dyDescent="0.45">
      <c r="A16" s="153" t="s">
        <v>320</v>
      </c>
      <c r="B16" s="266">
        <v>2650</v>
      </c>
      <c r="C16" s="242">
        <v>2790</v>
      </c>
      <c r="D16" s="243">
        <v>3130</v>
      </c>
      <c r="E16" s="161">
        <v>3390</v>
      </c>
      <c r="F16" s="161">
        <v>3515</v>
      </c>
      <c r="G16" s="161">
        <v>3900</v>
      </c>
      <c r="H16" s="160">
        <v>4380</v>
      </c>
      <c r="I16" s="161">
        <v>4800</v>
      </c>
      <c r="J16" s="323"/>
      <c r="K16" s="326"/>
      <c r="L16" s="323"/>
      <c r="M16" s="343"/>
      <c r="N16" s="50"/>
      <c r="O16" s="50"/>
    </row>
    <row r="17" spans="1:15" ht="36" customHeight="1" x14ac:dyDescent="0.45">
      <c r="A17" s="40" t="s">
        <v>321</v>
      </c>
      <c r="B17" s="282">
        <v>3290</v>
      </c>
      <c r="C17" s="283">
        <v>3290</v>
      </c>
      <c r="D17" s="286">
        <v>3530</v>
      </c>
      <c r="E17" s="287">
        <v>3870</v>
      </c>
      <c r="F17" s="287">
        <v>3995</v>
      </c>
      <c r="G17" s="287">
        <v>4380</v>
      </c>
      <c r="H17" s="283">
        <v>4860</v>
      </c>
      <c r="I17" s="287">
        <v>5280</v>
      </c>
      <c r="J17" s="323"/>
      <c r="K17" s="326"/>
      <c r="L17" s="323"/>
      <c r="M17" s="343"/>
      <c r="N17" s="50"/>
      <c r="O17" s="50"/>
    </row>
    <row r="18" spans="1:15" ht="36" customHeight="1" x14ac:dyDescent="0.45">
      <c r="A18" s="40" t="s">
        <v>325</v>
      </c>
      <c r="B18" s="267">
        <v>3340</v>
      </c>
      <c r="C18" s="162">
        <v>3340</v>
      </c>
      <c r="D18" s="163">
        <v>3580</v>
      </c>
      <c r="E18" s="164">
        <v>3920</v>
      </c>
      <c r="F18" s="164">
        <v>4045</v>
      </c>
      <c r="G18" s="164">
        <v>4430</v>
      </c>
      <c r="H18" s="165">
        <v>4910</v>
      </c>
      <c r="I18" s="164">
        <v>5330</v>
      </c>
      <c r="J18" s="323"/>
      <c r="K18" s="326"/>
      <c r="L18" s="323"/>
      <c r="M18" s="343"/>
      <c r="N18" s="50"/>
      <c r="O18" s="50"/>
    </row>
    <row r="19" spans="1:15" ht="36" customHeight="1" x14ac:dyDescent="0.45">
      <c r="A19" s="41" t="s">
        <v>326</v>
      </c>
      <c r="B19" s="284">
        <v>3780</v>
      </c>
      <c r="C19" s="285">
        <v>3780</v>
      </c>
      <c r="D19" s="288">
        <v>4020</v>
      </c>
      <c r="E19" s="289">
        <v>4360</v>
      </c>
      <c r="F19" s="289">
        <v>4485</v>
      </c>
      <c r="G19" s="289">
        <v>4870</v>
      </c>
      <c r="H19" s="285">
        <v>5350</v>
      </c>
      <c r="I19" s="290">
        <v>5770</v>
      </c>
      <c r="J19" s="323"/>
      <c r="K19" s="326"/>
      <c r="L19" s="323"/>
      <c r="M19" s="343"/>
      <c r="N19" s="50"/>
      <c r="O19" s="50"/>
    </row>
    <row r="20" spans="1:15" ht="36" customHeight="1" thickBot="1" x14ac:dyDescent="0.5">
      <c r="A20" s="41" t="s">
        <v>324</v>
      </c>
      <c r="B20" s="268">
        <v>4090</v>
      </c>
      <c r="C20" s="166">
        <v>4090</v>
      </c>
      <c r="D20" s="167">
        <v>4330</v>
      </c>
      <c r="E20" s="168">
        <v>4670</v>
      </c>
      <c r="F20" s="168">
        <v>4795</v>
      </c>
      <c r="G20" s="168">
        <v>5180</v>
      </c>
      <c r="H20" s="169">
        <v>5660</v>
      </c>
      <c r="I20" s="170">
        <v>6080</v>
      </c>
      <c r="J20" s="323"/>
      <c r="K20" s="326"/>
      <c r="L20" s="323"/>
      <c r="M20" s="343"/>
      <c r="N20" s="50"/>
      <c r="O20" s="50"/>
    </row>
    <row r="21" spans="1:15" ht="36" customHeight="1" thickBot="1" x14ac:dyDescent="0.4">
      <c r="A21" s="347" t="s">
        <v>3</v>
      </c>
      <c r="B21" s="348"/>
      <c r="C21" s="348"/>
      <c r="D21" s="348"/>
      <c r="E21" s="348"/>
      <c r="F21" s="348"/>
      <c r="G21" s="348"/>
      <c r="H21" s="349"/>
      <c r="I21" s="36"/>
      <c r="J21" s="323"/>
      <c r="K21" s="326"/>
      <c r="L21" s="323"/>
      <c r="M21" s="343"/>
      <c r="N21" s="50"/>
      <c r="O21" s="50"/>
    </row>
    <row r="22" spans="1:15" ht="36" customHeight="1" x14ac:dyDescent="0.5">
      <c r="A22" s="238" t="s">
        <v>1</v>
      </c>
      <c r="B22" s="239"/>
      <c r="C22" s="240">
        <v>2940</v>
      </c>
      <c r="D22" s="241">
        <v>3180</v>
      </c>
      <c r="E22" s="239">
        <v>3520</v>
      </c>
      <c r="F22" s="239">
        <v>3645</v>
      </c>
      <c r="G22" s="239">
        <v>4030</v>
      </c>
      <c r="H22" s="239">
        <v>4510</v>
      </c>
      <c r="I22" s="239">
        <v>4930</v>
      </c>
      <c r="J22" s="323"/>
      <c r="K22" s="326"/>
      <c r="L22" s="323"/>
      <c r="M22" s="343"/>
      <c r="N22" s="50"/>
      <c r="O22" s="50"/>
    </row>
    <row r="23" spans="1:15" ht="36" customHeight="1" x14ac:dyDescent="0.45">
      <c r="A23" s="42" t="s">
        <v>320</v>
      </c>
      <c r="B23" s="244"/>
      <c r="C23" s="171">
        <v>3140</v>
      </c>
      <c r="D23" s="172">
        <v>3380</v>
      </c>
      <c r="E23" s="173">
        <v>3720</v>
      </c>
      <c r="F23" s="173">
        <v>3845</v>
      </c>
      <c r="G23" s="173">
        <v>4230</v>
      </c>
      <c r="H23" s="174">
        <v>4710</v>
      </c>
      <c r="I23" s="173">
        <v>5130</v>
      </c>
      <c r="J23" s="323"/>
      <c r="K23" s="326"/>
      <c r="L23" s="323"/>
      <c r="M23" s="343"/>
      <c r="N23" s="50"/>
      <c r="O23" s="50"/>
    </row>
    <row r="24" spans="1:15" ht="36" customHeight="1" x14ac:dyDescent="0.45">
      <c r="A24" s="40" t="s">
        <v>321</v>
      </c>
      <c r="B24" s="294"/>
      <c r="C24" s="283">
        <v>3570</v>
      </c>
      <c r="D24" s="286">
        <v>3810</v>
      </c>
      <c r="E24" s="287">
        <v>4150</v>
      </c>
      <c r="F24" s="287">
        <v>4275</v>
      </c>
      <c r="G24" s="287">
        <v>4660</v>
      </c>
      <c r="H24" s="283">
        <v>5140</v>
      </c>
      <c r="I24" s="287">
        <v>5560</v>
      </c>
      <c r="J24" s="323"/>
      <c r="K24" s="326"/>
      <c r="L24" s="323"/>
      <c r="M24" s="343"/>
      <c r="N24" s="50"/>
      <c r="O24" s="50"/>
    </row>
    <row r="25" spans="1:15" ht="36" customHeight="1" x14ac:dyDescent="0.45">
      <c r="A25" s="40" t="s">
        <v>325</v>
      </c>
      <c r="B25" s="245"/>
      <c r="C25" s="162">
        <v>3620</v>
      </c>
      <c r="D25" s="163">
        <v>3860</v>
      </c>
      <c r="E25" s="164">
        <v>4200</v>
      </c>
      <c r="F25" s="164">
        <v>4325</v>
      </c>
      <c r="G25" s="164">
        <v>4710</v>
      </c>
      <c r="H25" s="165">
        <v>5190</v>
      </c>
      <c r="I25" s="164">
        <v>5610</v>
      </c>
      <c r="J25" s="323"/>
      <c r="K25" s="326"/>
      <c r="L25" s="323"/>
      <c r="M25" s="343"/>
      <c r="N25" s="50"/>
      <c r="O25" s="50"/>
    </row>
    <row r="26" spans="1:15" ht="36" customHeight="1" x14ac:dyDescent="0.45">
      <c r="A26" s="40" t="s">
        <v>326</v>
      </c>
      <c r="B26" s="294"/>
      <c r="C26" s="283">
        <v>4270</v>
      </c>
      <c r="D26" s="286">
        <v>4510</v>
      </c>
      <c r="E26" s="287">
        <v>4850</v>
      </c>
      <c r="F26" s="287">
        <v>4975</v>
      </c>
      <c r="G26" s="287">
        <v>5360</v>
      </c>
      <c r="H26" s="283">
        <v>5840</v>
      </c>
      <c r="I26" s="287">
        <v>6200</v>
      </c>
      <c r="J26" s="323"/>
      <c r="K26" s="326"/>
      <c r="L26" s="323"/>
      <c r="M26" s="343"/>
      <c r="N26" s="50"/>
      <c r="O26" s="50"/>
    </row>
    <row r="27" spans="1:15" ht="36" customHeight="1" x14ac:dyDescent="0.45">
      <c r="A27" s="40" t="s">
        <v>324</v>
      </c>
      <c r="B27" s="245"/>
      <c r="C27" s="162">
        <v>4370</v>
      </c>
      <c r="D27" s="163">
        <v>4610</v>
      </c>
      <c r="E27" s="164">
        <v>4950</v>
      </c>
      <c r="F27" s="164">
        <v>5075</v>
      </c>
      <c r="G27" s="164">
        <v>5460</v>
      </c>
      <c r="H27" s="165">
        <v>5940</v>
      </c>
      <c r="I27" s="164">
        <v>6360</v>
      </c>
      <c r="J27" s="323"/>
      <c r="K27" s="326"/>
      <c r="L27" s="323"/>
      <c r="M27" s="343"/>
      <c r="N27" s="50"/>
      <c r="O27" s="50"/>
    </row>
    <row r="28" spans="1:15" ht="36" customHeight="1" thickBot="1" x14ac:dyDescent="0.5">
      <c r="A28" s="40" t="s">
        <v>540</v>
      </c>
      <c r="B28" s="245"/>
      <c r="C28" s="162">
        <v>4180</v>
      </c>
      <c r="D28" s="163">
        <v>4420</v>
      </c>
      <c r="E28" s="164">
        <v>4760</v>
      </c>
      <c r="F28" s="164">
        <v>4885</v>
      </c>
      <c r="G28" s="164">
        <v>5270</v>
      </c>
      <c r="H28" s="165">
        <v>5750</v>
      </c>
      <c r="I28" s="183">
        <v>6170</v>
      </c>
      <c r="J28" s="323"/>
      <c r="K28" s="326"/>
      <c r="L28" s="323"/>
      <c r="M28" s="343"/>
      <c r="N28" s="50"/>
      <c r="O28" s="50"/>
    </row>
    <row r="29" spans="1:15" ht="36" customHeight="1" thickBot="1" x14ac:dyDescent="0.4">
      <c r="A29" s="347" t="s">
        <v>4</v>
      </c>
      <c r="B29" s="348"/>
      <c r="C29" s="348"/>
      <c r="D29" s="348"/>
      <c r="E29" s="348"/>
      <c r="F29" s="348"/>
      <c r="G29" s="348"/>
      <c r="H29" s="348"/>
      <c r="I29" s="36"/>
      <c r="J29" s="323"/>
      <c r="K29" s="326"/>
      <c r="L29" s="323"/>
      <c r="M29" s="343"/>
      <c r="N29" s="50" t="s">
        <v>419</v>
      </c>
      <c r="O29" s="50"/>
    </row>
    <row r="30" spans="1:15" ht="36" customHeight="1" x14ac:dyDescent="0.5">
      <c r="A30" s="246" t="s">
        <v>1</v>
      </c>
      <c r="B30" s="291"/>
      <c r="C30" s="248">
        <v>3390</v>
      </c>
      <c r="D30" s="249">
        <v>3630</v>
      </c>
      <c r="E30" s="247">
        <v>3970</v>
      </c>
      <c r="F30" s="247">
        <v>4095</v>
      </c>
      <c r="G30" s="247">
        <v>4480</v>
      </c>
      <c r="H30" s="247">
        <v>4960</v>
      </c>
      <c r="I30" s="239">
        <v>5380</v>
      </c>
      <c r="J30" s="323"/>
      <c r="K30" s="326"/>
      <c r="L30" s="323"/>
      <c r="M30" s="343"/>
      <c r="N30" s="50"/>
      <c r="O30" s="50"/>
    </row>
    <row r="31" spans="1:15" ht="36" customHeight="1" x14ac:dyDescent="0.45">
      <c r="A31" s="250" t="s">
        <v>320</v>
      </c>
      <c r="B31" s="292"/>
      <c r="C31" s="162">
        <v>3590</v>
      </c>
      <c r="D31" s="163">
        <v>3830</v>
      </c>
      <c r="E31" s="164">
        <v>4170</v>
      </c>
      <c r="F31" s="164">
        <v>4295</v>
      </c>
      <c r="G31" s="164">
        <v>4680</v>
      </c>
      <c r="H31" s="164">
        <v>5060</v>
      </c>
      <c r="I31" s="173">
        <v>5480</v>
      </c>
      <c r="J31" s="323"/>
      <c r="K31" s="326"/>
      <c r="L31" s="323"/>
      <c r="M31" s="343"/>
      <c r="N31" s="50"/>
      <c r="O31" s="50"/>
    </row>
    <row r="32" spans="1:15" ht="36" customHeight="1" x14ac:dyDescent="0.45">
      <c r="A32" s="40" t="s">
        <v>321</v>
      </c>
      <c r="B32" s="293"/>
      <c r="C32" s="295">
        <v>4020</v>
      </c>
      <c r="D32" s="296">
        <v>4260</v>
      </c>
      <c r="E32" s="297">
        <v>4600</v>
      </c>
      <c r="F32" s="297">
        <v>4725</v>
      </c>
      <c r="G32" s="297">
        <v>5110</v>
      </c>
      <c r="H32" s="297">
        <v>5590</v>
      </c>
      <c r="I32" s="287">
        <v>6010</v>
      </c>
      <c r="J32" s="323"/>
      <c r="K32" s="326"/>
      <c r="L32" s="323"/>
      <c r="M32" s="343"/>
      <c r="N32" s="50"/>
      <c r="O32" s="50"/>
    </row>
    <row r="33" spans="1:15" ht="36" customHeight="1" x14ac:dyDescent="0.45">
      <c r="A33" s="40" t="s">
        <v>325</v>
      </c>
      <c r="B33" s="293"/>
      <c r="C33" s="171">
        <v>4070</v>
      </c>
      <c r="D33" s="172">
        <v>4310</v>
      </c>
      <c r="E33" s="173">
        <v>4650</v>
      </c>
      <c r="F33" s="173">
        <v>4775</v>
      </c>
      <c r="G33" s="173">
        <v>5160</v>
      </c>
      <c r="H33" s="173">
        <v>5640</v>
      </c>
      <c r="I33" s="164">
        <v>6060</v>
      </c>
      <c r="J33" s="323"/>
      <c r="K33" s="326"/>
      <c r="L33" s="323"/>
      <c r="M33" s="343"/>
      <c r="N33" s="50"/>
      <c r="O33" s="50"/>
    </row>
    <row r="34" spans="1:15" ht="36" customHeight="1" x14ac:dyDescent="0.45">
      <c r="A34" s="40" t="s">
        <v>326</v>
      </c>
      <c r="B34" s="293"/>
      <c r="C34" s="295">
        <v>4510</v>
      </c>
      <c r="D34" s="296">
        <v>4150</v>
      </c>
      <c r="E34" s="297">
        <v>5090</v>
      </c>
      <c r="F34" s="297">
        <v>5215</v>
      </c>
      <c r="G34" s="297">
        <v>5600</v>
      </c>
      <c r="H34" s="297">
        <v>6080</v>
      </c>
      <c r="I34" s="287">
        <v>6500</v>
      </c>
      <c r="J34" s="323"/>
      <c r="K34" s="326"/>
      <c r="L34" s="323"/>
      <c r="M34" s="343"/>
      <c r="N34" s="50"/>
      <c r="O34" s="50"/>
    </row>
    <row r="35" spans="1:15" ht="36" customHeight="1" thickBot="1" x14ac:dyDescent="0.5">
      <c r="A35" s="40" t="s">
        <v>324</v>
      </c>
      <c r="B35" s="293"/>
      <c r="C35" s="171">
        <v>4820</v>
      </c>
      <c r="D35" s="172">
        <v>5060</v>
      </c>
      <c r="E35" s="173">
        <v>5408</v>
      </c>
      <c r="F35" s="173">
        <v>5525</v>
      </c>
      <c r="G35" s="173">
        <v>5910</v>
      </c>
      <c r="H35" s="173">
        <v>6390</v>
      </c>
      <c r="I35" s="175">
        <v>6810</v>
      </c>
      <c r="J35" s="323"/>
      <c r="K35" s="326"/>
      <c r="L35" s="323"/>
      <c r="M35" s="343"/>
      <c r="N35" s="50"/>
      <c r="O35" s="50"/>
    </row>
    <row r="36" spans="1:15" ht="36" customHeight="1" thickBot="1" x14ac:dyDescent="0.4">
      <c r="A36" s="347" t="s">
        <v>542</v>
      </c>
      <c r="B36" s="348"/>
      <c r="C36" s="348"/>
      <c r="D36" s="348"/>
      <c r="E36" s="348"/>
      <c r="F36" s="348"/>
      <c r="G36" s="348"/>
      <c r="H36" s="348"/>
      <c r="I36" s="36"/>
      <c r="J36" s="323"/>
      <c r="K36" s="326"/>
      <c r="L36" s="323"/>
      <c r="M36" s="343"/>
      <c r="N36" s="50"/>
      <c r="O36" s="50"/>
    </row>
    <row r="37" spans="1:15" ht="36" customHeight="1" thickBot="1" x14ac:dyDescent="0.5">
      <c r="A37" s="43" t="s">
        <v>543</v>
      </c>
      <c r="B37" s="251"/>
      <c r="C37" s="171">
        <v>4640</v>
      </c>
      <c r="D37" s="172">
        <v>4880</v>
      </c>
      <c r="E37" s="173">
        <v>5220</v>
      </c>
      <c r="F37" s="173">
        <v>5345</v>
      </c>
      <c r="G37" s="173">
        <v>5730</v>
      </c>
      <c r="H37" s="173">
        <v>6210</v>
      </c>
      <c r="I37" s="175">
        <v>6630</v>
      </c>
      <c r="J37" s="323"/>
      <c r="K37" s="326"/>
      <c r="L37" s="323"/>
      <c r="M37" s="343"/>
      <c r="N37" s="50"/>
      <c r="O37" s="50"/>
    </row>
    <row r="38" spans="1:15" ht="36" customHeight="1" thickBot="1" x14ac:dyDescent="0.4">
      <c r="A38" s="347" t="s">
        <v>254</v>
      </c>
      <c r="B38" s="348"/>
      <c r="C38" s="348"/>
      <c r="D38" s="348"/>
      <c r="E38" s="348"/>
      <c r="F38" s="348"/>
      <c r="G38" s="348"/>
      <c r="H38" s="348"/>
      <c r="I38" s="36"/>
      <c r="J38" s="323"/>
      <c r="K38" s="326"/>
      <c r="L38" s="323"/>
      <c r="M38" s="343"/>
      <c r="N38" s="50"/>
      <c r="O38" s="50"/>
    </row>
    <row r="39" spans="1:15" ht="36" customHeight="1" thickBot="1" x14ac:dyDescent="0.5">
      <c r="A39" s="43" t="s">
        <v>1</v>
      </c>
      <c r="B39" s="251"/>
      <c r="C39" s="176">
        <v>3860</v>
      </c>
      <c r="D39" s="177">
        <v>4100</v>
      </c>
      <c r="E39" s="178">
        <v>4440</v>
      </c>
      <c r="F39" s="178">
        <v>4565</v>
      </c>
      <c r="G39" s="178">
        <v>4950</v>
      </c>
      <c r="H39" s="178">
        <v>5430</v>
      </c>
      <c r="I39" s="175">
        <v>5850</v>
      </c>
      <c r="J39" s="323"/>
      <c r="K39" s="326"/>
      <c r="L39" s="323"/>
      <c r="M39" s="343"/>
      <c r="N39" s="50"/>
      <c r="O39" s="50"/>
    </row>
    <row r="40" spans="1:15" ht="36" customHeight="1" x14ac:dyDescent="0.35">
      <c r="A40" s="345" t="s">
        <v>314</v>
      </c>
      <c r="B40" s="346"/>
      <c r="C40" s="346"/>
      <c r="D40" s="346"/>
      <c r="E40" s="346"/>
      <c r="F40" s="346"/>
      <c r="G40" s="346"/>
      <c r="H40" s="346"/>
      <c r="I40" s="149"/>
      <c r="J40" s="323"/>
      <c r="K40" s="326"/>
      <c r="L40" s="323"/>
      <c r="M40" s="343"/>
      <c r="N40" s="50"/>
      <c r="O40" s="50"/>
    </row>
    <row r="41" spans="1:15" ht="36" customHeight="1" thickBot="1" x14ac:dyDescent="0.5">
      <c r="A41" s="250" t="s">
        <v>1</v>
      </c>
      <c r="B41" s="263"/>
      <c r="C41" s="179">
        <v>5360</v>
      </c>
      <c r="D41" s="179">
        <v>5600</v>
      </c>
      <c r="E41" s="164">
        <v>5940</v>
      </c>
      <c r="F41" s="164">
        <v>6065</v>
      </c>
      <c r="G41" s="164">
        <v>6450</v>
      </c>
      <c r="H41" s="164">
        <v>6930</v>
      </c>
      <c r="I41" s="164">
        <v>7350</v>
      </c>
      <c r="J41" s="323"/>
      <c r="K41" s="326"/>
      <c r="L41" s="323"/>
      <c r="M41" s="343"/>
      <c r="N41" s="50"/>
      <c r="O41" s="50"/>
    </row>
    <row r="42" spans="1:15" ht="36" customHeight="1" x14ac:dyDescent="0.35">
      <c r="A42" s="350" t="s">
        <v>299</v>
      </c>
      <c r="B42" s="351"/>
      <c r="C42" s="351"/>
      <c r="D42" s="351"/>
      <c r="E42" s="351"/>
      <c r="F42" s="351"/>
      <c r="G42" s="351"/>
      <c r="H42" s="351"/>
      <c r="I42" s="264"/>
      <c r="J42" s="323"/>
      <c r="K42" s="326"/>
      <c r="L42" s="323"/>
      <c r="M42" s="343"/>
      <c r="N42" s="50"/>
      <c r="O42" s="50"/>
    </row>
    <row r="43" spans="1:15" ht="36" customHeight="1" x14ac:dyDescent="0.5">
      <c r="A43" s="260" t="s">
        <v>1</v>
      </c>
      <c r="B43" s="253"/>
      <c r="C43" s="261">
        <f>300+3560+200</f>
        <v>4060</v>
      </c>
      <c r="D43" s="262">
        <f>300+3700+300</f>
        <v>4300</v>
      </c>
      <c r="E43" s="253">
        <f>300+3990+350</f>
        <v>4640</v>
      </c>
      <c r="F43" s="253">
        <f>300+4065+400</f>
        <v>4765</v>
      </c>
      <c r="G43" s="253">
        <f>300+4450+400</f>
        <v>5150</v>
      </c>
      <c r="H43" s="253">
        <f>300+4930+400</f>
        <v>5630</v>
      </c>
      <c r="I43" s="161">
        <f>300+5350+400</f>
        <v>6050</v>
      </c>
      <c r="J43" s="323"/>
      <c r="K43" s="326"/>
      <c r="L43" s="323"/>
      <c r="M43" s="343"/>
      <c r="N43" s="50"/>
      <c r="O43" s="50"/>
    </row>
    <row r="44" spans="1:15" ht="36" customHeight="1" x14ac:dyDescent="0.45">
      <c r="A44" s="250" t="s">
        <v>320</v>
      </c>
      <c r="B44" s="245"/>
      <c r="C44" s="162">
        <f>300+3660+300</f>
        <v>4260</v>
      </c>
      <c r="D44" s="163">
        <f>300+3800+400</f>
        <v>4500</v>
      </c>
      <c r="E44" s="164">
        <f>300+4090+450</f>
        <v>4840</v>
      </c>
      <c r="F44" s="164">
        <f>300+4165+400+100</f>
        <v>4965</v>
      </c>
      <c r="G44" s="164">
        <f>300+4550+400+100</f>
        <v>5350</v>
      </c>
      <c r="H44" s="164">
        <f>300+5030+400+100</f>
        <v>5830</v>
      </c>
      <c r="I44" s="173">
        <f>300+5450+400+100</f>
        <v>6250</v>
      </c>
      <c r="J44" s="323"/>
      <c r="K44" s="326"/>
      <c r="L44" s="323"/>
      <c r="M44" s="343"/>
      <c r="N44" s="50"/>
      <c r="O44" s="50"/>
    </row>
    <row r="45" spans="1:15" ht="36" customHeight="1" x14ac:dyDescent="0.45">
      <c r="A45" s="40" t="s">
        <v>321</v>
      </c>
      <c r="B45" s="244"/>
      <c r="C45" s="295">
        <f>300+4190+200</f>
        <v>4690</v>
      </c>
      <c r="D45" s="296">
        <f>300+4330+300</f>
        <v>4930</v>
      </c>
      <c r="E45" s="297">
        <f>300+4620+350</f>
        <v>5270</v>
      </c>
      <c r="F45" s="297">
        <f>300+4695+400</f>
        <v>5395</v>
      </c>
      <c r="G45" s="297">
        <f>300+5080+400</f>
        <v>5780</v>
      </c>
      <c r="H45" s="297">
        <f>300+5560+400</f>
        <v>6260</v>
      </c>
      <c r="I45" s="287">
        <f>300+5980+400</f>
        <v>6680</v>
      </c>
      <c r="J45" s="323"/>
      <c r="K45" s="326"/>
      <c r="L45" s="323"/>
      <c r="M45" s="343"/>
      <c r="N45" s="50"/>
      <c r="O45" s="50"/>
    </row>
    <row r="46" spans="1:15" ht="36" customHeight="1" x14ac:dyDescent="0.45">
      <c r="A46" s="40" t="s">
        <v>325</v>
      </c>
      <c r="B46" s="244"/>
      <c r="C46" s="171">
        <f>300+4240+200</f>
        <v>4740</v>
      </c>
      <c r="D46" s="172">
        <f>300+4380+300</f>
        <v>4980</v>
      </c>
      <c r="E46" s="173">
        <f>300+4670+350</f>
        <v>5320</v>
      </c>
      <c r="F46" s="173">
        <f>300+4745+400</f>
        <v>5445</v>
      </c>
      <c r="G46" s="173">
        <f>300+5130+400</f>
        <v>5830</v>
      </c>
      <c r="H46" s="173">
        <f>300+5610+400</f>
        <v>6310</v>
      </c>
      <c r="I46" s="164">
        <f>300+6030+400</f>
        <v>6730</v>
      </c>
      <c r="J46" s="323"/>
      <c r="K46" s="326"/>
      <c r="L46" s="323"/>
      <c r="M46" s="343"/>
      <c r="N46" s="50"/>
      <c r="O46" s="50"/>
    </row>
    <row r="47" spans="1:15" ht="36" customHeight="1" x14ac:dyDescent="0.45">
      <c r="A47" s="40" t="s">
        <v>326</v>
      </c>
      <c r="B47" s="244"/>
      <c r="C47" s="295">
        <f>300+4680+200</f>
        <v>5180</v>
      </c>
      <c r="D47" s="296">
        <f>300+4820+300</f>
        <v>5420</v>
      </c>
      <c r="E47" s="297">
        <f>300+5110+350</f>
        <v>5760</v>
      </c>
      <c r="F47" s="297">
        <f>300+5185+400</f>
        <v>5885</v>
      </c>
      <c r="G47" s="297">
        <f>300+5570+400</f>
        <v>6270</v>
      </c>
      <c r="H47" s="297">
        <f>300+6050+400</f>
        <v>6750</v>
      </c>
      <c r="I47" s="287">
        <f>300+6470+400</f>
        <v>7170</v>
      </c>
      <c r="J47" s="323"/>
      <c r="K47" s="326"/>
      <c r="L47" s="323"/>
      <c r="M47" s="343"/>
      <c r="N47" s="50"/>
      <c r="O47" s="50"/>
    </row>
    <row r="48" spans="1:15" ht="36" customHeight="1" thickBot="1" x14ac:dyDescent="0.5">
      <c r="A48" s="40" t="s">
        <v>324</v>
      </c>
      <c r="B48" s="244"/>
      <c r="C48" s="171">
        <f>300+4990+200</f>
        <v>5490</v>
      </c>
      <c r="D48" s="172">
        <f>300+5130+300</f>
        <v>5730</v>
      </c>
      <c r="E48" s="173">
        <f>300+5420+350</f>
        <v>6070</v>
      </c>
      <c r="F48" s="173">
        <f>300+5495+400</f>
        <v>6195</v>
      </c>
      <c r="G48" s="173">
        <f>300+5880+400</f>
        <v>6580</v>
      </c>
      <c r="H48" s="173">
        <f>300+6360+400</f>
        <v>7060</v>
      </c>
      <c r="I48" s="175">
        <f>300+6780+400</f>
        <v>7480</v>
      </c>
      <c r="J48" s="323"/>
      <c r="K48" s="326"/>
      <c r="L48" s="323"/>
      <c r="M48" s="343"/>
      <c r="N48" s="50"/>
      <c r="O48" s="50"/>
    </row>
    <row r="49" spans="1:19" ht="36" customHeight="1" thickBot="1" x14ac:dyDescent="0.4">
      <c r="A49" s="347" t="s">
        <v>298</v>
      </c>
      <c r="B49" s="348"/>
      <c r="C49" s="348"/>
      <c r="D49" s="348"/>
      <c r="E49" s="348"/>
      <c r="F49" s="348"/>
      <c r="G49" s="348"/>
      <c r="H49" s="348"/>
      <c r="I49" s="36"/>
      <c r="J49" s="323"/>
      <c r="K49" s="326"/>
      <c r="L49" s="323"/>
      <c r="M49" s="343"/>
      <c r="N49" s="50"/>
      <c r="O49" s="50"/>
    </row>
    <row r="50" spans="1:19" ht="36" customHeight="1" x14ac:dyDescent="0.5">
      <c r="A50" s="246" t="s">
        <v>1</v>
      </c>
      <c r="B50" s="247"/>
      <c r="C50" s="248">
        <f>300+5360+200</f>
        <v>5860</v>
      </c>
      <c r="D50" s="249">
        <f>300+5500+300</f>
        <v>6100</v>
      </c>
      <c r="E50" s="247">
        <f>300+5790+350</f>
        <v>6440</v>
      </c>
      <c r="F50" s="247">
        <f>300+5865+400</f>
        <v>6565</v>
      </c>
      <c r="G50" s="247">
        <f>300+6250+400</f>
        <v>6950</v>
      </c>
      <c r="H50" s="247">
        <f>300+6730+400</f>
        <v>7430</v>
      </c>
      <c r="I50" s="239">
        <f>300+7150+400</f>
        <v>7850</v>
      </c>
      <c r="J50" s="323"/>
      <c r="K50" s="326"/>
      <c r="L50" s="323"/>
      <c r="M50" s="343"/>
      <c r="N50" s="50"/>
      <c r="O50" s="50"/>
    </row>
    <row r="51" spans="1:19" ht="36" customHeight="1" x14ac:dyDescent="0.45">
      <c r="A51" s="250" t="s">
        <v>320</v>
      </c>
      <c r="B51" s="245"/>
      <c r="C51" s="162">
        <f>300+5460+300</f>
        <v>6060</v>
      </c>
      <c r="D51" s="163">
        <f>300+5600+400</f>
        <v>6300</v>
      </c>
      <c r="E51" s="164">
        <f>300+5890+450</f>
        <v>6640</v>
      </c>
      <c r="F51" s="164">
        <f>300+5965+500</f>
        <v>6765</v>
      </c>
      <c r="G51" s="164">
        <f>300+6350+500</f>
        <v>7150</v>
      </c>
      <c r="H51" s="164">
        <f>300+6830+500</f>
        <v>7630</v>
      </c>
      <c r="I51" s="173">
        <f>300+7250+500</f>
        <v>8050</v>
      </c>
      <c r="J51" s="323"/>
      <c r="K51" s="326"/>
      <c r="L51" s="323"/>
      <c r="M51" s="343"/>
      <c r="N51" s="50"/>
      <c r="O51" s="50"/>
    </row>
    <row r="52" spans="1:19" ht="36" customHeight="1" x14ac:dyDescent="0.45">
      <c r="A52" s="40" t="s">
        <v>321</v>
      </c>
      <c r="B52" s="244"/>
      <c r="C52" s="295">
        <f>300+5990+200</f>
        <v>6490</v>
      </c>
      <c r="D52" s="296">
        <f>300+6130+300</f>
        <v>6730</v>
      </c>
      <c r="E52" s="297">
        <f>300+6420+350</f>
        <v>7070</v>
      </c>
      <c r="F52" s="297">
        <f>300+6495+400</f>
        <v>7195</v>
      </c>
      <c r="G52" s="297">
        <f>300+6880+400</f>
        <v>7580</v>
      </c>
      <c r="H52" s="297">
        <f>300+7360+400</f>
        <v>8060</v>
      </c>
      <c r="I52" s="287">
        <f>300+7780+400</f>
        <v>8480</v>
      </c>
      <c r="J52" s="323"/>
      <c r="K52" s="326"/>
      <c r="L52" s="323"/>
      <c r="M52" s="343"/>
      <c r="N52" s="50"/>
      <c r="O52" s="50"/>
    </row>
    <row r="53" spans="1:19" ht="30.75" customHeight="1" x14ac:dyDescent="0.45">
      <c r="A53" s="40" t="s">
        <v>325</v>
      </c>
      <c r="B53" s="244"/>
      <c r="C53" s="171">
        <f>300+6040+200</f>
        <v>6540</v>
      </c>
      <c r="D53" s="179">
        <f>300+6180+300</f>
        <v>6780</v>
      </c>
      <c r="E53" s="173">
        <f>300+6470+350</f>
        <v>7120</v>
      </c>
      <c r="F53" s="173">
        <f>300+6545+400</f>
        <v>7245</v>
      </c>
      <c r="G53" s="173">
        <f>300+6930+400</f>
        <v>7630</v>
      </c>
      <c r="H53" s="173">
        <f>300+7410+400</f>
        <v>8110</v>
      </c>
      <c r="I53" s="164">
        <f>300+7830+400</f>
        <v>8530</v>
      </c>
      <c r="J53" s="323"/>
      <c r="K53" s="326"/>
      <c r="L53" s="323"/>
      <c r="M53" s="343"/>
      <c r="N53" s="50"/>
      <c r="O53" s="50"/>
    </row>
    <row r="54" spans="1:19" ht="30" customHeight="1" x14ac:dyDescent="0.45">
      <c r="A54" s="40" t="s">
        <v>326</v>
      </c>
      <c r="B54" s="244"/>
      <c r="C54" s="295">
        <f>300+6480+200</f>
        <v>6980</v>
      </c>
      <c r="D54" s="296">
        <f>300+6620+300</f>
        <v>7220</v>
      </c>
      <c r="E54" s="297">
        <f>300+6910+350</f>
        <v>7560</v>
      </c>
      <c r="F54" s="297">
        <f>300+6985+400</f>
        <v>7685</v>
      </c>
      <c r="G54" s="297">
        <f>300+7370+400</f>
        <v>8070</v>
      </c>
      <c r="H54" s="297">
        <f>300+7850+400</f>
        <v>8550</v>
      </c>
      <c r="I54" s="287">
        <f>300+8270+400</f>
        <v>8970</v>
      </c>
      <c r="J54" s="323"/>
      <c r="K54" s="326"/>
      <c r="L54" s="323"/>
      <c r="M54" s="343"/>
      <c r="N54" s="233"/>
      <c r="O54" s="131"/>
      <c r="P54" s="6"/>
      <c r="Q54" s="6"/>
      <c r="R54" s="6"/>
      <c r="S54" s="6"/>
    </row>
    <row r="55" spans="1:19" ht="30" customHeight="1" thickBot="1" x14ac:dyDescent="0.5">
      <c r="A55" s="40" t="s">
        <v>324</v>
      </c>
      <c r="B55" s="244"/>
      <c r="C55" s="171">
        <f>300+6790+200</f>
        <v>7290</v>
      </c>
      <c r="D55" s="172">
        <f>300+6930+300</f>
        <v>7530</v>
      </c>
      <c r="E55" s="173">
        <f>300+7220+350</f>
        <v>7870</v>
      </c>
      <c r="F55" s="173">
        <f>300+7295+400</f>
        <v>7995</v>
      </c>
      <c r="G55" s="173">
        <f>300+7680+400</f>
        <v>8380</v>
      </c>
      <c r="H55" s="173">
        <f>300+8160+400</f>
        <v>8860</v>
      </c>
      <c r="I55" s="175">
        <f>300+8580+400</f>
        <v>9280</v>
      </c>
      <c r="J55" s="323"/>
      <c r="K55" s="326"/>
      <c r="L55" s="323"/>
      <c r="M55" s="343"/>
      <c r="N55" s="132"/>
      <c r="O55" s="131"/>
      <c r="P55" s="6"/>
      <c r="Q55" s="6"/>
      <c r="R55" s="6"/>
      <c r="S55" s="6"/>
    </row>
    <row r="56" spans="1:19" ht="30" customHeight="1" thickBot="1" x14ac:dyDescent="0.4">
      <c r="A56" s="347" t="s">
        <v>297</v>
      </c>
      <c r="B56" s="348"/>
      <c r="C56" s="348"/>
      <c r="D56" s="348"/>
      <c r="E56" s="348"/>
      <c r="F56" s="348"/>
      <c r="G56" s="348"/>
      <c r="H56" s="348"/>
      <c r="I56" s="36"/>
      <c r="J56" s="323"/>
      <c r="K56" s="326"/>
      <c r="L56" s="323"/>
      <c r="M56" s="343"/>
      <c r="N56" s="132"/>
      <c r="O56" s="131"/>
      <c r="P56" s="6"/>
      <c r="Q56" s="6"/>
      <c r="R56" s="6"/>
      <c r="S56" s="6"/>
    </row>
    <row r="57" spans="1:19" ht="30" customHeight="1" thickBot="1" x14ac:dyDescent="0.5">
      <c r="A57" s="49"/>
      <c r="B57" s="252"/>
      <c r="C57" s="180">
        <v>1260</v>
      </c>
      <c r="D57" s="181">
        <v>1500</v>
      </c>
      <c r="E57" s="182">
        <v>1840</v>
      </c>
      <c r="F57" s="182">
        <v>1965</v>
      </c>
      <c r="G57" s="182">
        <v>2350</v>
      </c>
      <c r="H57" s="182">
        <v>2830</v>
      </c>
      <c r="I57" s="183"/>
      <c r="J57" s="324"/>
      <c r="K57" s="327"/>
      <c r="L57" s="352"/>
      <c r="M57" s="344"/>
      <c r="N57" s="132"/>
      <c r="O57" s="131"/>
      <c r="P57" s="6"/>
      <c r="Q57" s="6"/>
      <c r="R57" s="6"/>
      <c r="S57" s="6"/>
    </row>
    <row r="58" spans="1:19" ht="28.5" customHeight="1" x14ac:dyDescent="0.45">
      <c r="A58" s="319"/>
      <c r="B58" s="319"/>
      <c r="C58" s="319"/>
      <c r="D58" s="319"/>
      <c r="E58" s="319"/>
      <c r="F58" s="319"/>
      <c r="G58" s="319"/>
      <c r="H58" s="319"/>
      <c r="I58" s="319"/>
      <c r="J58" s="319"/>
      <c r="K58" s="319"/>
      <c r="L58" s="319"/>
      <c r="M58" s="100"/>
      <c r="N58" s="131"/>
      <c r="O58" s="131"/>
      <c r="P58" s="6"/>
      <c r="Q58" s="6"/>
      <c r="R58" s="6"/>
      <c r="S58" s="6"/>
    </row>
    <row r="59" spans="1:19" ht="28.5" customHeight="1" x14ac:dyDescent="0.45">
      <c r="A59" s="316" t="s">
        <v>320</v>
      </c>
      <c r="B59" s="316"/>
      <c r="C59" s="316"/>
      <c r="D59" s="316"/>
      <c r="E59" s="316"/>
      <c r="F59" s="316"/>
      <c r="G59" s="316"/>
      <c r="H59" s="316"/>
      <c r="I59" s="316"/>
      <c r="J59" s="316"/>
      <c r="K59" s="254"/>
      <c r="L59" s="254"/>
      <c r="M59" s="100"/>
      <c r="N59" s="184"/>
      <c r="O59" s="184"/>
      <c r="P59" s="102"/>
      <c r="Q59" s="102"/>
      <c r="R59" s="102"/>
      <c r="S59" s="102"/>
    </row>
    <row r="60" spans="1:19" ht="30" customHeight="1" x14ac:dyDescent="0.4">
      <c r="A60" s="319" t="s">
        <v>483</v>
      </c>
      <c r="B60" s="319"/>
      <c r="C60" s="319"/>
      <c r="D60" s="319"/>
      <c r="E60" s="319"/>
      <c r="F60" s="319"/>
      <c r="G60" s="319"/>
      <c r="H60" s="319"/>
      <c r="I60" s="319"/>
      <c r="J60" s="319"/>
      <c r="K60" s="255"/>
      <c r="L60" s="255"/>
      <c r="M60" s="96"/>
      <c r="N60" s="131"/>
      <c r="O60" s="131"/>
      <c r="P60" s="6"/>
      <c r="Q60" s="6"/>
      <c r="R60" s="6"/>
      <c r="S60" s="6"/>
    </row>
    <row r="61" spans="1:19" ht="34.5" customHeight="1" x14ac:dyDescent="0.45">
      <c r="A61" s="319"/>
      <c r="B61" s="319"/>
      <c r="C61" s="319"/>
      <c r="D61" s="319"/>
      <c r="E61" s="319"/>
      <c r="F61" s="319"/>
      <c r="G61" s="319"/>
      <c r="H61" s="319"/>
      <c r="I61" s="319"/>
      <c r="J61" s="319"/>
      <c r="K61" s="123"/>
      <c r="L61" s="123"/>
      <c r="M61" s="101"/>
      <c r="N61" s="131"/>
      <c r="O61" s="131"/>
      <c r="P61" s="6"/>
      <c r="Q61" s="6"/>
      <c r="R61" s="6"/>
      <c r="S61" s="6"/>
    </row>
    <row r="62" spans="1:19" ht="30" customHeight="1" x14ac:dyDescent="0.4">
      <c r="A62" s="335" t="s">
        <v>321</v>
      </c>
      <c r="B62" s="335"/>
      <c r="C62" s="335"/>
      <c r="D62" s="335"/>
      <c r="E62" s="335"/>
      <c r="F62" s="335"/>
      <c r="G62" s="335"/>
      <c r="H62" s="335"/>
      <c r="I62" s="335"/>
      <c r="J62" s="335"/>
      <c r="K62" s="255"/>
      <c r="L62" s="255"/>
      <c r="M62" s="96"/>
      <c r="N62" s="131"/>
      <c r="O62" s="131"/>
      <c r="P62" s="6"/>
      <c r="Q62" s="6"/>
      <c r="R62" s="6"/>
      <c r="S62" s="6"/>
    </row>
    <row r="63" spans="1:19" ht="40.5" customHeight="1" x14ac:dyDescent="0.45">
      <c r="A63" s="319" t="s">
        <v>499</v>
      </c>
      <c r="B63" s="319"/>
      <c r="C63" s="319"/>
      <c r="D63" s="319"/>
      <c r="E63" s="319"/>
      <c r="F63" s="319"/>
      <c r="G63" s="319"/>
      <c r="H63" s="319"/>
      <c r="I63" s="319"/>
      <c r="J63" s="319"/>
      <c r="K63" s="256"/>
      <c r="L63" s="256"/>
      <c r="M63" s="101"/>
      <c r="N63" s="131"/>
      <c r="O63" s="131"/>
      <c r="P63" s="6"/>
      <c r="Q63" s="6"/>
      <c r="R63" s="6"/>
      <c r="S63" s="6"/>
    </row>
    <row r="64" spans="1:19" ht="30" customHeight="1" x14ac:dyDescent="0.45">
      <c r="A64" s="319" t="s">
        <v>435</v>
      </c>
      <c r="B64" s="319"/>
      <c r="C64" s="319"/>
      <c r="D64" s="319"/>
      <c r="E64" s="319"/>
      <c r="F64" s="319"/>
      <c r="G64" s="319"/>
      <c r="H64" s="319"/>
      <c r="I64" s="319"/>
      <c r="J64" s="319"/>
      <c r="K64" s="255"/>
      <c r="L64" s="255"/>
      <c r="M64" s="96"/>
      <c r="N64" s="131"/>
      <c r="O64" s="131"/>
      <c r="P64" s="6"/>
      <c r="Q64" s="6"/>
      <c r="R64" s="6"/>
      <c r="S64" s="6"/>
    </row>
    <row r="65" spans="1:19" ht="30" customHeight="1" x14ac:dyDescent="0.45">
      <c r="A65" s="336" t="s">
        <v>322</v>
      </c>
      <c r="B65" s="336"/>
      <c r="C65" s="336"/>
      <c r="D65" s="336"/>
      <c r="E65" s="336"/>
      <c r="F65" s="336"/>
      <c r="G65" s="336"/>
      <c r="H65" s="336"/>
      <c r="I65" s="336"/>
      <c r="J65" s="336"/>
      <c r="K65" s="256"/>
      <c r="L65" s="256"/>
      <c r="M65" s="101"/>
      <c r="N65" s="131"/>
      <c r="O65" s="131"/>
      <c r="P65" s="6"/>
      <c r="Q65" s="6"/>
      <c r="R65" s="6"/>
      <c r="S65" s="6"/>
    </row>
    <row r="66" spans="1:19" ht="30" customHeight="1" x14ac:dyDescent="0.45">
      <c r="A66" s="337" t="s">
        <v>367</v>
      </c>
      <c r="B66" s="337"/>
      <c r="C66" s="337"/>
      <c r="D66" s="337"/>
      <c r="E66" s="337"/>
      <c r="F66" s="337"/>
      <c r="G66" s="337"/>
      <c r="H66" s="337"/>
      <c r="I66" s="337"/>
      <c r="J66" s="337"/>
      <c r="K66" s="256"/>
      <c r="L66" s="256"/>
      <c r="M66" s="101"/>
      <c r="N66" s="184"/>
      <c r="O66" s="184"/>
      <c r="P66" s="102"/>
      <c r="Q66" s="102"/>
      <c r="R66" s="102"/>
      <c r="S66" s="102"/>
    </row>
    <row r="67" spans="1:19" ht="30" customHeight="1" x14ac:dyDescent="0.4">
      <c r="A67" s="336" t="s">
        <v>323</v>
      </c>
      <c r="B67" s="336"/>
      <c r="C67" s="336"/>
      <c r="D67" s="336"/>
      <c r="E67" s="336"/>
      <c r="F67" s="336"/>
      <c r="G67" s="336"/>
      <c r="H67" s="336"/>
      <c r="I67" s="336"/>
      <c r="J67" s="336"/>
      <c r="K67" s="255"/>
      <c r="L67" s="255"/>
      <c r="M67" s="96"/>
      <c r="N67" s="131"/>
      <c r="O67" s="131"/>
      <c r="P67" s="6"/>
      <c r="Q67" s="6"/>
      <c r="R67" s="6"/>
      <c r="S67" s="6"/>
    </row>
    <row r="68" spans="1:19" ht="70.5" customHeight="1" x14ac:dyDescent="0.4">
      <c r="A68" s="338" t="s">
        <v>437</v>
      </c>
      <c r="B68" s="338"/>
      <c r="C68" s="338"/>
      <c r="D68" s="338"/>
      <c r="E68" s="338"/>
      <c r="F68" s="338"/>
      <c r="G68" s="338"/>
      <c r="H68" s="338"/>
      <c r="I68" s="338"/>
      <c r="J68" s="338"/>
      <c r="K68" s="255"/>
      <c r="L68" s="255"/>
      <c r="M68" s="96"/>
      <c r="N68" s="328"/>
      <c r="O68" s="328"/>
      <c r="P68" s="6"/>
      <c r="Q68" s="6"/>
      <c r="R68" s="6"/>
      <c r="S68" s="6"/>
    </row>
    <row r="69" spans="1:19" s="46" customFormat="1" ht="33" customHeight="1" x14ac:dyDescent="0.4">
      <c r="A69" s="336" t="s">
        <v>324</v>
      </c>
      <c r="B69" s="336"/>
      <c r="C69" s="336"/>
      <c r="D69" s="336"/>
      <c r="E69" s="336"/>
      <c r="F69" s="336"/>
      <c r="G69" s="336"/>
      <c r="H69" s="336"/>
      <c r="I69" s="336"/>
      <c r="J69" s="336"/>
      <c r="K69" s="257"/>
      <c r="L69" s="257"/>
      <c r="M69" s="97"/>
      <c r="N69" s="341"/>
      <c r="O69" s="341"/>
      <c r="P69" s="45"/>
      <c r="Q69" s="45"/>
      <c r="R69" s="45"/>
      <c r="S69" s="45"/>
    </row>
    <row r="70" spans="1:19" ht="37.5" customHeight="1" x14ac:dyDescent="0.4">
      <c r="A70" s="340" t="s">
        <v>541</v>
      </c>
      <c r="B70" s="338"/>
      <c r="C70" s="338"/>
      <c r="D70" s="338"/>
      <c r="E70" s="338"/>
      <c r="F70" s="338"/>
      <c r="G70" s="338"/>
      <c r="H70" s="338"/>
      <c r="I70" s="338"/>
      <c r="J70" s="338"/>
      <c r="K70" s="258"/>
      <c r="L70" s="258"/>
      <c r="M70" s="98"/>
      <c r="N70" s="328"/>
      <c r="O70" s="328"/>
      <c r="P70" s="6"/>
      <c r="Q70" s="6"/>
      <c r="R70" s="6"/>
      <c r="S70" s="6"/>
    </row>
    <row r="71" spans="1:19" ht="30" customHeight="1" x14ac:dyDescent="0.4">
      <c r="A71" s="338" t="s">
        <v>436</v>
      </c>
      <c r="B71" s="338"/>
      <c r="C71" s="338"/>
      <c r="D71" s="338"/>
      <c r="E71" s="338"/>
      <c r="F71" s="338"/>
      <c r="G71" s="338"/>
      <c r="H71" s="338"/>
      <c r="I71" s="338"/>
      <c r="J71" s="338"/>
      <c r="K71" s="235"/>
      <c r="L71" s="235"/>
      <c r="M71" s="98"/>
      <c r="N71" s="131"/>
      <c r="O71" s="131"/>
      <c r="P71" s="102"/>
      <c r="Q71" s="102"/>
      <c r="R71" s="102"/>
      <c r="S71" s="102"/>
    </row>
    <row r="72" spans="1:19" ht="30" customHeight="1" x14ac:dyDescent="0.4">
      <c r="A72" s="336" t="s">
        <v>49</v>
      </c>
      <c r="B72" s="336"/>
      <c r="C72" s="336"/>
      <c r="D72" s="336"/>
      <c r="E72" s="336"/>
      <c r="F72" s="336"/>
      <c r="G72" s="336"/>
      <c r="H72" s="336"/>
      <c r="I72" s="336"/>
      <c r="J72" s="336"/>
      <c r="K72" s="259"/>
      <c r="L72" s="259"/>
      <c r="M72" s="98"/>
      <c r="N72" s="131"/>
      <c r="O72" s="131"/>
      <c r="P72" s="6"/>
      <c r="Q72" s="6"/>
      <c r="R72" s="6"/>
      <c r="S72" s="6"/>
    </row>
    <row r="73" spans="1:19" ht="30" customHeight="1" x14ac:dyDescent="0.4">
      <c r="A73" s="336" t="s">
        <v>315</v>
      </c>
      <c r="B73" s="336"/>
      <c r="C73" s="336"/>
      <c r="D73" s="336"/>
      <c r="E73" s="336"/>
      <c r="F73" s="336"/>
      <c r="G73" s="336"/>
      <c r="H73" s="336"/>
      <c r="I73" s="336"/>
      <c r="J73" s="336"/>
      <c r="K73" s="259"/>
      <c r="L73" s="259"/>
      <c r="M73" s="99"/>
      <c r="N73" s="328"/>
      <c r="O73" s="328"/>
      <c r="P73" s="6"/>
      <c r="Q73" s="6"/>
      <c r="R73" s="6"/>
      <c r="S73" s="6"/>
    </row>
    <row r="74" spans="1:19" ht="63" customHeight="1" x14ac:dyDescent="0.4">
      <c r="A74" s="340" t="s">
        <v>316</v>
      </c>
      <c r="B74" s="340"/>
      <c r="C74" s="340"/>
      <c r="D74" s="340"/>
      <c r="E74" s="340"/>
      <c r="F74" s="340"/>
      <c r="G74" s="340"/>
      <c r="H74" s="340"/>
      <c r="I74" s="340"/>
      <c r="J74" s="340"/>
      <c r="K74" s="259"/>
      <c r="L74" s="259"/>
      <c r="M74" s="99"/>
      <c r="N74" s="328"/>
      <c r="O74" s="328"/>
      <c r="P74" s="6"/>
      <c r="Q74" s="6"/>
      <c r="R74" s="6"/>
      <c r="S74" s="6"/>
    </row>
    <row r="75" spans="1:19" ht="73.5" customHeight="1" x14ac:dyDescent="0.4">
      <c r="A75" s="353" t="s">
        <v>100</v>
      </c>
      <c r="B75" s="353"/>
      <c r="C75" s="353"/>
      <c r="D75" s="353"/>
      <c r="E75" s="353"/>
      <c r="F75" s="353"/>
      <c r="G75" s="353"/>
      <c r="H75" s="353"/>
      <c r="I75" s="353"/>
      <c r="J75" s="353"/>
      <c r="K75" s="255"/>
      <c r="L75" s="255"/>
      <c r="M75" s="96"/>
      <c r="N75" s="328"/>
      <c r="O75" s="328"/>
      <c r="P75" s="6"/>
      <c r="Q75" s="6"/>
      <c r="R75" s="6"/>
      <c r="S75" s="6"/>
    </row>
    <row r="76" spans="1:19" ht="30" x14ac:dyDescent="0.4">
      <c r="A76" s="234" t="s">
        <v>370</v>
      </c>
      <c r="B76" s="235"/>
      <c r="C76" s="235"/>
      <c r="D76" s="235"/>
      <c r="E76" s="235"/>
      <c r="F76" s="235"/>
      <c r="G76" s="235"/>
      <c r="H76" s="235"/>
      <c r="I76" s="235"/>
      <c r="J76" s="235"/>
      <c r="K76" s="50"/>
      <c r="L76" s="50"/>
      <c r="M76" s="50"/>
      <c r="N76" s="50"/>
      <c r="O76" s="50"/>
    </row>
    <row r="77" spans="1:19" ht="68.25" customHeight="1" x14ac:dyDescent="0.4">
      <c r="A77" s="335" t="s">
        <v>371</v>
      </c>
      <c r="B77" s="335"/>
      <c r="C77" s="335"/>
      <c r="D77" s="335"/>
      <c r="E77" s="335"/>
      <c r="F77" s="335"/>
      <c r="G77" s="335"/>
      <c r="H77" s="335"/>
      <c r="I77" s="335"/>
      <c r="J77" s="335"/>
    </row>
    <row r="78" spans="1:19" ht="72" customHeight="1" x14ac:dyDescent="0.4">
      <c r="A78" s="335" t="s">
        <v>372</v>
      </c>
      <c r="B78" s="335"/>
      <c r="C78" s="335"/>
      <c r="D78" s="335"/>
      <c r="E78" s="335"/>
      <c r="F78" s="335"/>
      <c r="G78" s="335"/>
      <c r="H78" s="335"/>
      <c r="I78" s="335"/>
      <c r="J78" s="335"/>
    </row>
    <row r="79" spans="1:19" ht="30" x14ac:dyDescent="0.4">
      <c r="A79" s="335" t="s">
        <v>373</v>
      </c>
      <c r="B79" s="335"/>
      <c r="C79" s="335"/>
      <c r="D79" s="335"/>
      <c r="E79" s="335"/>
      <c r="F79" s="335"/>
      <c r="G79" s="335"/>
      <c r="H79" s="335"/>
      <c r="I79" s="335"/>
      <c r="J79" s="335"/>
    </row>
    <row r="80" spans="1:19" ht="30" x14ac:dyDescent="0.4">
      <c r="A80" s="336" t="s">
        <v>317</v>
      </c>
      <c r="B80" s="336"/>
      <c r="C80" s="336"/>
      <c r="D80" s="336"/>
      <c r="E80" s="336"/>
      <c r="F80" s="336"/>
      <c r="G80" s="336"/>
      <c r="H80" s="336"/>
      <c r="I80" s="336"/>
      <c r="J80" s="336"/>
    </row>
  </sheetData>
  <mergeCells count="49">
    <mergeCell ref="A80:J80"/>
    <mergeCell ref="A74:J74"/>
    <mergeCell ref="A75:J75"/>
    <mergeCell ref="A77:J77"/>
    <mergeCell ref="A78:J78"/>
    <mergeCell ref="A79:J79"/>
    <mergeCell ref="M12:M57"/>
    <mergeCell ref="A14:H14"/>
    <mergeCell ref="A21:H21"/>
    <mergeCell ref="A29:H29"/>
    <mergeCell ref="A38:H38"/>
    <mergeCell ref="A40:H40"/>
    <mergeCell ref="A42:H42"/>
    <mergeCell ref="A49:H49"/>
    <mergeCell ref="A56:H56"/>
    <mergeCell ref="L12:L57"/>
    <mergeCell ref="A36:H36"/>
    <mergeCell ref="N70:O70"/>
    <mergeCell ref="N73:O73"/>
    <mergeCell ref="N69:O69"/>
    <mergeCell ref="N75:O75"/>
    <mergeCell ref="N74:O74"/>
    <mergeCell ref="A69:J69"/>
    <mergeCell ref="A70:J70"/>
    <mergeCell ref="A71:J71"/>
    <mergeCell ref="A72:J72"/>
    <mergeCell ref="A73:J73"/>
    <mergeCell ref="N68:O68"/>
    <mergeCell ref="A1:E1"/>
    <mergeCell ref="A2:D2"/>
    <mergeCell ref="A3:E3"/>
    <mergeCell ref="A10:L10"/>
    <mergeCell ref="A6:M7"/>
    <mergeCell ref="A9:L9"/>
    <mergeCell ref="A60:J61"/>
    <mergeCell ref="A62:J62"/>
    <mergeCell ref="A63:J63"/>
    <mergeCell ref="A64:J64"/>
    <mergeCell ref="A65:J65"/>
    <mergeCell ref="A66:J66"/>
    <mergeCell ref="A67:J67"/>
    <mergeCell ref="A68:J68"/>
    <mergeCell ref="L5:M5"/>
    <mergeCell ref="A59:J59"/>
    <mergeCell ref="A8:L8"/>
    <mergeCell ref="A58:L58"/>
    <mergeCell ref="A12:H12"/>
    <mergeCell ref="J12:J57"/>
    <mergeCell ref="K12:K57"/>
  </mergeCells>
  <hyperlinks>
    <hyperlink ref="A3:D3" r:id="rId1" display="e-mail: at-mebel.fasad@mail.ru"/>
    <hyperlink ref="A3" r:id="rId2" display="at-mebel.fasad@mail.ru"/>
  </hyperlinks>
  <printOptions horizontalCentered="1"/>
  <pageMargins left="0.25" right="0.25" top="0.75" bottom="0.75" header="0.3" footer="0.3"/>
  <pageSetup paperSize="9" scale="24" orientation="portrait" r:id="rId3"/>
  <rowBreaks count="1" manualBreakCount="1">
    <brk id="10" max="16383" man="1"/>
  </row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22"/>
  <sheetViews>
    <sheetView view="pageBreakPreview" zoomScale="55" zoomScaleNormal="70" zoomScaleSheetLayoutView="55" workbookViewId="0">
      <selection activeCell="Z18" sqref="Z18"/>
    </sheetView>
  </sheetViews>
  <sheetFormatPr defaultRowHeight="15" x14ac:dyDescent="0.25"/>
  <cols>
    <col min="1" max="1" width="7.42578125" customWidth="1"/>
    <col min="2" max="2" width="16.42578125" customWidth="1"/>
    <col min="3" max="3" width="42.42578125" customWidth="1"/>
    <col min="4" max="4" width="30.140625" customWidth="1"/>
    <col min="5" max="5" width="41.5703125" customWidth="1"/>
    <col min="6" max="6" width="20.5703125" customWidth="1"/>
  </cols>
  <sheetData>
    <row r="1" spans="1:6" ht="18" x14ac:dyDescent="0.25">
      <c r="A1" s="35" t="s">
        <v>20</v>
      </c>
      <c r="B1" s="35"/>
      <c r="C1" s="35"/>
      <c r="F1" s="9"/>
    </row>
    <row r="2" spans="1:6" ht="18" x14ac:dyDescent="0.25">
      <c r="A2" s="35" t="s">
        <v>197</v>
      </c>
      <c r="B2" s="35"/>
      <c r="C2" s="35"/>
      <c r="F2" s="9"/>
    </row>
    <row r="3" spans="1:6" ht="18" x14ac:dyDescent="0.25">
      <c r="A3" s="35" t="s">
        <v>165</v>
      </c>
      <c r="B3" s="35"/>
      <c r="C3" s="35"/>
      <c r="F3" s="9"/>
    </row>
    <row r="4" spans="1:6" x14ac:dyDescent="0.25">
      <c r="F4" s="9"/>
    </row>
    <row r="5" spans="1:6" ht="59.25" customHeight="1" x14ac:dyDescent="0.25">
      <c r="F5" s="9"/>
    </row>
    <row r="6" spans="1:6" ht="19.5" x14ac:dyDescent="0.25">
      <c r="A6" s="17"/>
      <c r="B6" s="17"/>
      <c r="C6" s="558" t="s">
        <v>32</v>
      </c>
      <c r="D6" s="558"/>
      <c r="E6" s="558"/>
      <c r="F6" s="558"/>
    </row>
    <row r="7" spans="1:6" ht="33" customHeight="1" x14ac:dyDescent="0.25">
      <c r="A7" s="17"/>
      <c r="B7" s="17"/>
      <c r="C7" s="34"/>
      <c r="D7" s="34"/>
      <c r="E7" s="34"/>
      <c r="F7" s="34"/>
    </row>
    <row r="8" spans="1:6" ht="19.5" x14ac:dyDescent="0.25">
      <c r="A8" s="33" t="s">
        <v>164</v>
      </c>
      <c r="B8" s="17"/>
      <c r="C8" s="34"/>
      <c r="D8" s="34"/>
      <c r="E8" s="34"/>
      <c r="F8" s="34"/>
    </row>
    <row r="9" spans="1:6" ht="21" x14ac:dyDescent="0.35">
      <c r="A9" s="33"/>
      <c r="C9" s="18"/>
      <c r="D9" s="18"/>
      <c r="E9" s="18"/>
      <c r="F9" s="10"/>
    </row>
    <row r="10" spans="1:6" x14ac:dyDescent="0.25">
      <c r="A10" s="559" t="s">
        <v>33</v>
      </c>
      <c r="B10" s="561" t="s">
        <v>36</v>
      </c>
      <c r="C10" s="556" t="s">
        <v>34</v>
      </c>
      <c r="D10" s="556" t="s">
        <v>21</v>
      </c>
      <c r="E10" s="556" t="s">
        <v>104</v>
      </c>
      <c r="F10" s="560" t="s">
        <v>163</v>
      </c>
    </row>
    <row r="11" spans="1:6" ht="27" customHeight="1" x14ac:dyDescent="0.25">
      <c r="A11" s="559"/>
      <c r="B11" s="562"/>
      <c r="C11" s="556"/>
      <c r="D11" s="556"/>
      <c r="E11" s="556"/>
      <c r="F11" s="560"/>
    </row>
    <row r="12" spans="1:6" ht="109.9" customHeight="1" x14ac:dyDescent="0.25">
      <c r="A12" s="28">
        <v>1</v>
      </c>
      <c r="B12" s="28">
        <v>621</v>
      </c>
      <c r="C12" s="29" t="s">
        <v>162</v>
      </c>
      <c r="D12" s="32"/>
      <c r="E12" s="32"/>
      <c r="F12" s="25">
        <v>1500</v>
      </c>
    </row>
    <row r="13" spans="1:6" ht="134.44999999999999" customHeight="1" x14ac:dyDescent="0.25">
      <c r="A13" s="28">
        <v>2</v>
      </c>
      <c r="B13" s="28" t="s">
        <v>161</v>
      </c>
      <c r="C13" s="29" t="s">
        <v>160</v>
      </c>
      <c r="D13" s="31"/>
      <c r="E13" s="31"/>
      <c r="F13" s="25">
        <v>1430</v>
      </c>
    </row>
    <row r="14" spans="1:6" ht="133.15" customHeight="1" x14ac:dyDescent="0.25">
      <c r="A14" s="28">
        <v>3</v>
      </c>
      <c r="B14" s="28" t="s">
        <v>159</v>
      </c>
      <c r="C14" s="29" t="s">
        <v>158</v>
      </c>
      <c r="D14" s="30"/>
      <c r="E14" s="30"/>
      <c r="F14" s="25">
        <v>1600</v>
      </c>
    </row>
    <row r="15" spans="1:6" ht="132" customHeight="1" x14ac:dyDescent="0.25">
      <c r="A15" s="28">
        <v>4</v>
      </c>
      <c r="B15" s="28" t="s">
        <v>157</v>
      </c>
      <c r="C15" s="29" t="s">
        <v>156</v>
      </c>
      <c r="D15" s="30"/>
      <c r="E15" s="30"/>
      <c r="F15" s="25">
        <v>680</v>
      </c>
    </row>
    <row r="16" spans="1:6" ht="109.9" customHeight="1" x14ac:dyDescent="0.25">
      <c r="A16" s="28">
        <v>5</v>
      </c>
      <c r="B16" s="28" t="s">
        <v>155</v>
      </c>
      <c r="C16" s="29" t="s">
        <v>154</v>
      </c>
      <c r="D16" s="26"/>
      <c r="E16" s="26"/>
      <c r="F16" s="25">
        <v>1370</v>
      </c>
    </row>
    <row r="17" spans="1:6" ht="141.75" customHeight="1" x14ac:dyDescent="0.25">
      <c r="A17" s="28">
        <v>6</v>
      </c>
      <c r="B17" s="28" t="s">
        <v>153</v>
      </c>
      <c r="C17" s="29" t="s">
        <v>152</v>
      </c>
      <c r="D17" s="26"/>
      <c r="E17" s="26"/>
      <c r="F17" s="25">
        <v>2600</v>
      </c>
    </row>
    <row r="18" spans="1:6" ht="87.6" customHeight="1" x14ac:dyDescent="0.25">
      <c r="A18" s="28">
        <v>7</v>
      </c>
      <c r="B18" s="28" t="s">
        <v>151</v>
      </c>
      <c r="C18" s="29" t="s">
        <v>150</v>
      </c>
      <c r="D18" s="26"/>
      <c r="E18" s="26"/>
      <c r="F18" s="25">
        <v>10</v>
      </c>
    </row>
    <row r="19" spans="1:6" ht="141" customHeight="1" x14ac:dyDescent="0.25">
      <c r="A19" s="28">
        <v>6</v>
      </c>
      <c r="B19" s="28" t="s">
        <v>149</v>
      </c>
      <c r="C19" s="27" t="s">
        <v>148</v>
      </c>
      <c r="D19" s="26"/>
      <c r="E19" s="26"/>
      <c r="F19" s="25">
        <v>120</v>
      </c>
    </row>
    <row r="20" spans="1:6" x14ac:dyDescent="0.25">
      <c r="F20" s="9"/>
    </row>
    <row r="21" spans="1:6" ht="18" x14ac:dyDescent="0.25">
      <c r="A21" s="557" t="s">
        <v>198</v>
      </c>
      <c r="B21" s="557"/>
      <c r="C21" s="557"/>
      <c r="D21" s="557"/>
      <c r="E21" s="557"/>
      <c r="F21" s="557"/>
    </row>
    <row r="22" spans="1:6" x14ac:dyDescent="0.25">
      <c r="C22" s="555"/>
      <c r="D22" s="555"/>
      <c r="E22" s="555"/>
      <c r="F22" s="555"/>
    </row>
  </sheetData>
  <mergeCells count="9">
    <mergeCell ref="C22:F22"/>
    <mergeCell ref="E10:E11"/>
    <mergeCell ref="A21:F21"/>
    <mergeCell ref="C6:F6"/>
    <mergeCell ref="A10:A11"/>
    <mergeCell ref="C10:C11"/>
    <mergeCell ref="D10:D11"/>
    <mergeCell ref="F10:F11"/>
    <mergeCell ref="B10:B11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33"/>
  <sheetViews>
    <sheetView zoomScale="50" zoomScaleNormal="50" workbookViewId="0">
      <selection activeCell="A6" sqref="A6:B7"/>
    </sheetView>
  </sheetViews>
  <sheetFormatPr defaultRowHeight="15" x14ac:dyDescent="0.25"/>
  <cols>
    <col min="1" max="1" width="132" customWidth="1"/>
    <col min="2" max="2" width="36.140625" customWidth="1"/>
    <col min="9" max="9" width="17.42578125" customWidth="1"/>
  </cols>
  <sheetData>
    <row r="1" spans="1:10" ht="27" x14ac:dyDescent="0.35">
      <c r="A1" s="447" t="s">
        <v>74</v>
      </c>
      <c r="B1" s="447"/>
      <c r="C1" s="447"/>
      <c r="D1" s="447"/>
    </row>
    <row r="2" spans="1:10" ht="27.6" customHeight="1" x14ac:dyDescent="0.35">
      <c r="A2" s="447" t="s">
        <v>306</v>
      </c>
      <c r="B2" s="447"/>
      <c r="C2" s="447"/>
      <c r="D2" s="44"/>
    </row>
    <row r="3" spans="1:10" ht="27" x14ac:dyDescent="0.25">
      <c r="A3" s="448" t="s">
        <v>9</v>
      </c>
      <c r="B3" s="448"/>
      <c r="C3" s="448"/>
      <c r="D3" s="448"/>
    </row>
    <row r="4" spans="1:10" s="22" customFormat="1" x14ac:dyDescent="0.25">
      <c r="A4"/>
      <c r="B4"/>
      <c r="C4"/>
      <c r="D4"/>
      <c r="E4"/>
      <c r="F4"/>
      <c r="G4"/>
      <c r="H4"/>
      <c r="I4"/>
      <c r="J4"/>
    </row>
    <row r="5" spans="1:10" s="22" customFormat="1" ht="58.5" customHeight="1" x14ac:dyDescent="0.45">
      <c r="A5"/>
      <c r="B5" s="76" t="s">
        <v>547</v>
      </c>
      <c r="C5" s="77"/>
      <c r="D5" s="77"/>
      <c r="E5"/>
      <c r="F5"/>
      <c r="J5" s="63"/>
    </row>
    <row r="6" spans="1:10" s="22" customFormat="1" ht="15" customHeight="1" x14ac:dyDescent="0.45">
      <c r="A6" s="333" t="s">
        <v>341</v>
      </c>
      <c r="B6" s="333"/>
      <c r="C6" s="70"/>
      <c r="D6" s="70"/>
      <c r="E6" s="70"/>
      <c r="F6" s="70"/>
      <c r="G6" s="70"/>
      <c r="H6" s="70"/>
      <c r="I6" s="70"/>
      <c r="J6" s="70"/>
    </row>
    <row r="7" spans="1:10" s="22" customFormat="1" ht="15" customHeight="1" x14ac:dyDescent="0.45">
      <c r="A7" s="333"/>
      <c r="B7" s="333"/>
      <c r="C7" s="70"/>
      <c r="D7" s="70"/>
      <c r="E7" s="70"/>
      <c r="F7" s="70"/>
      <c r="G7" s="70"/>
      <c r="H7" s="70"/>
      <c r="I7" s="70"/>
      <c r="J7" s="70"/>
    </row>
    <row r="8" spans="1:10" s="22" customFormat="1" x14ac:dyDescent="0.25">
      <c r="A8" s="65"/>
      <c r="B8" s="65"/>
      <c r="C8"/>
      <c r="D8"/>
      <c r="E8"/>
      <c r="F8"/>
      <c r="G8"/>
      <c r="H8"/>
      <c r="I8"/>
      <c r="J8"/>
    </row>
    <row r="9" spans="1:10" s="22" customFormat="1" ht="35.1" customHeight="1" x14ac:dyDescent="0.4">
      <c r="A9" s="89" t="s">
        <v>22</v>
      </c>
      <c r="B9" s="89" t="s">
        <v>342</v>
      </c>
      <c r="C9"/>
      <c r="D9"/>
      <c r="E9"/>
      <c r="F9"/>
      <c r="G9"/>
      <c r="H9"/>
      <c r="I9"/>
      <c r="J9"/>
    </row>
    <row r="10" spans="1:10" s="74" customFormat="1" ht="35.1" customHeight="1" x14ac:dyDescent="0.25">
      <c r="A10" s="304" t="s">
        <v>506</v>
      </c>
      <c r="B10" s="305">
        <v>5300</v>
      </c>
    </row>
    <row r="11" spans="1:10" s="22" customFormat="1" ht="35.1" customHeight="1" x14ac:dyDescent="0.25">
      <c r="A11" s="304" t="s">
        <v>507</v>
      </c>
      <c r="B11" s="305">
        <v>7700</v>
      </c>
    </row>
    <row r="12" spans="1:10" s="22" customFormat="1" ht="35.1" customHeight="1" x14ac:dyDescent="0.25">
      <c r="A12" s="304" t="s">
        <v>508</v>
      </c>
      <c r="B12" s="305">
        <v>6000</v>
      </c>
    </row>
    <row r="13" spans="1:10" s="22" customFormat="1" ht="35.1" customHeight="1" x14ac:dyDescent="0.25">
      <c r="A13" s="304" t="s">
        <v>509</v>
      </c>
      <c r="B13" s="305">
        <v>6000</v>
      </c>
    </row>
    <row r="14" spans="1:10" s="22" customFormat="1" ht="35.1" customHeight="1" x14ac:dyDescent="0.25">
      <c r="A14" s="304" t="s">
        <v>510</v>
      </c>
      <c r="B14" s="305">
        <v>6300</v>
      </c>
    </row>
    <row r="15" spans="1:10" s="22" customFormat="1" ht="35.1" customHeight="1" x14ac:dyDescent="0.25">
      <c r="A15" s="304" t="s">
        <v>511</v>
      </c>
      <c r="B15" s="305">
        <v>7800</v>
      </c>
    </row>
    <row r="16" spans="1:10" s="22" customFormat="1" ht="35.1" customHeight="1" x14ac:dyDescent="0.25">
      <c r="A16" s="304" t="s">
        <v>512</v>
      </c>
      <c r="B16" s="305">
        <v>3200</v>
      </c>
    </row>
    <row r="17" spans="1:2" s="22" customFormat="1" ht="35.1" customHeight="1" x14ac:dyDescent="0.25">
      <c r="A17" s="304" t="s">
        <v>513</v>
      </c>
      <c r="B17" s="305">
        <v>3200</v>
      </c>
    </row>
    <row r="18" spans="1:2" s="22" customFormat="1" ht="35.1" customHeight="1" x14ac:dyDescent="0.25">
      <c r="A18" s="304" t="s">
        <v>514</v>
      </c>
      <c r="B18" s="305">
        <v>3300</v>
      </c>
    </row>
    <row r="19" spans="1:2" s="22" customFormat="1" ht="35.1" customHeight="1" x14ac:dyDescent="0.25">
      <c r="A19" s="304" t="s">
        <v>515</v>
      </c>
      <c r="B19" s="305">
        <v>3300</v>
      </c>
    </row>
    <row r="20" spans="1:2" s="22" customFormat="1" ht="35.1" customHeight="1" x14ac:dyDescent="0.25">
      <c r="A20" s="304" t="s">
        <v>516</v>
      </c>
      <c r="B20" s="305">
        <v>3300</v>
      </c>
    </row>
    <row r="21" spans="1:2" s="22" customFormat="1" ht="35.1" customHeight="1" x14ac:dyDescent="0.25">
      <c r="A21" s="304" t="s">
        <v>517</v>
      </c>
      <c r="B21" s="305">
        <v>3100</v>
      </c>
    </row>
    <row r="22" spans="1:2" s="22" customFormat="1" ht="35.1" customHeight="1" x14ac:dyDescent="0.25">
      <c r="A22" s="304" t="s">
        <v>529</v>
      </c>
      <c r="B22" s="305">
        <v>3100</v>
      </c>
    </row>
    <row r="23" spans="1:2" s="22" customFormat="1" ht="35.1" customHeight="1" x14ac:dyDescent="0.25">
      <c r="A23" s="304" t="s">
        <v>528</v>
      </c>
      <c r="B23" s="305">
        <v>3400</v>
      </c>
    </row>
    <row r="24" spans="1:2" s="22" customFormat="1" ht="35.1" customHeight="1" x14ac:dyDescent="0.25">
      <c r="A24" s="304" t="s">
        <v>527</v>
      </c>
      <c r="B24" s="305">
        <v>3400</v>
      </c>
    </row>
    <row r="25" spans="1:2" s="22" customFormat="1" ht="35.1" customHeight="1" x14ac:dyDescent="0.25">
      <c r="A25" s="304" t="s">
        <v>526</v>
      </c>
      <c r="B25" s="305">
        <v>3400</v>
      </c>
    </row>
    <row r="26" spans="1:2" s="22" customFormat="1" ht="35.1" customHeight="1" x14ac:dyDescent="0.25">
      <c r="A26" s="304" t="s">
        <v>525</v>
      </c>
      <c r="B26" s="305">
        <v>4000</v>
      </c>
    </row>
    <row r="27" spans="1:2" s="22" customFormat="1" ht="35.1" customHeight="1" x14ac:dyDescent="0.25">
      <c r="A27" s="304" t="s">
        <v>524</v>
      </c>
      <c r="B27" s="305">
        <v>3400</v>
      </c>
    </row>
    <row r="28" spans="1:2" s="22" customFormat="1" ht="35.1" customHeight="1" x14ac:dyDescent="0.25">
      <c r="A28" s="304" t="s">
        <v>523</v>
      </c>
      <c r="B28" s="305">
        <v>3400</v>
      </c>
    </row>
    <row r="29" spans="1:2" s="22" customFormat="1" ht="35.1" customHeight="1" x14ac:dyDescent="0.25">
      <c r="A29" s="304" t="s">
        <v>522</v>
      </c>
      <c r="B29" s="305">
        <v>3500</v>
      </c>
    </row>
    <row r="30" spans="1:2" s="22" customFormat="1" ht="35.1" customHeight="1" x14ac:dyDescent="0.25">
      <c r="A30" s="304" t="s">
        <v>521</v>
      </c>
      <c r="B30" s="305">
        <v>3500</v>
      </c>
    </row>
    <row r="31" spans="1:2" s="22" customFormat="1" ht="35.1" customHeight="1" x14ac:dyDescent="0.25">
      <c r="A31" s="304" t="s">
        <v>519</v>
      </c>
      <c r="B31" s="305">
        <v>6100</v>
      </c>
    </row>
    <row r="32" spans="1:2" s="22" customFormat="1" ht="35.1" customHeight="1" x14ac:dyDescent="0.25">
      <c r="A32" s="304" t="s">
        <v>518</v>
      </c>
      <c r="B32" s="305">
        <v>6100</v>
      </c>
    </row>
    <row r="33" spans="1:2" s="22" customFormat="1" ht="35.1" customHeight="1" x14ac:dyDescent="0.25">
      <c r="A33" s="304" t="s">
        <v>520</v>
      </c>
      <c r="B33" s="305">
        <v>6500</v>
      </c>
    </row>
  </sheetData>
  <mergeCells count="4">
    <mergeCell ref="A1:D1"/>
    <mergeCell ref="A2:C2"/>
    <mergeCell ref="A3:D3"/>
    <mergeCell ref="A6:B7"/>
  </mergeCells>
  <hyperlinks>
    <hyperlink ref="A3:C3" r:id="rId1" display="e-mail: at-mebel.fasad@mail.ru"/>
    <hyperlink ref="A3" r:id="rId2" display="at-mebel.fasad@mail.ru"/>
  </hyperlinks>
  <pageMargins left="0.7" right="0.7" top="0.75" bottom="0.75" header="0.3" footer="0.3"/>
  <pageSetup paperSize="9" scale="46" orientation="portrait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29"/>
  <sheetViews>
    <sheetView workbookViewId="0">
      <selection activeCell="C7" sqref="C7:C29"/>
    </sheetView>
  </sheetViews>
  <sheetFormatPr defaultRowHeight="15" x14ac:dyDescent="0.25"/>
  <cols>
    <col min="1" max="1" width="21.140625" style="19" customWidth="1"/>
    <col min="2" max="2" width="52.28515625" customWidth="1"/>
    <col min="3" max="3" width="17.42578125" customWidth="1"/>
  </cols>
  <sheetData>
    <row r="1" spans="1:3" ht="15.75" x14ac:dyDescent="0.25">
      <c r="A1" s="143" t="s">
        <v>68</v>
      </c>
      <c r="B1" s="144"/>
      <c r="C1" s="144"/>
    </row>
    <row r="2" spans="1:3" ht="15.75" x14ac:dyDescent="0.25">
      <c r="A2" s="143" t="s">
        <v>196</v>
      </c>
      <c r="B2" s="144"/>
      <c r="C2" s="144"/>
    </row>
    <row r="3" spans="1:3" ht="15.75" x14ac:dyDescent="0.25">
      <c r="A3" s="143" t="s">
        <v>9</v>
      </c>
      <c r="B3" s="144"/>
      <c r="C3" s="144"/>
    </row>
    <row r="4" spans="1:3" ht="15.75" x14ac:dyDescent="0.25">
      <c r="A4" s="145"/>
      <c r="B4" s="144"/>
      <c r="C4" s="144"/>
    </row>
    <row r="5" spans="1:3" ht="15.75" x14ac:dyDescent="0.25">
      <c r="A5" s="145"/>
      <c r="B5" s="144"/>
      <c r="C5" s="144"/>
    </row>
    <row r="6" spans="1:3" ht="15.75" x14ac:dyDescent="0.25">
      <c r="A6" s="4" t="s">
        <v>22</v>
      </c>
      <c r="B6" s="146" t="s">
        <v>21</v>
      </c>
      <c r="C6" s="4" t="s">
        <v>243</v>
      </c>
    </row>
    <row r="7" spans="1:3" ht="102" customHeight="1" x14ac:dyDescent="0.25">
      <c r="A7" s="4" t="s">
        <v>230</v>
      </c>
      <c r="B7" s="147"/>
      <c r="C7" s="4">
        <v>150</v>
      </c>
    </row>
    <row r="8" spans="1:3" ht="102" customHeight="1" x14ac:dyDescent="0.25">
      <c r="A8" s="4" t="s">
        <v>231</v>
      </c>
      <c r="B8" s="147"/>
      <c r="C8" s="4">
        <v>150</v>
      </c>
    </row>
    <row r="9" spans="1:3" ht="102" customHeight="1" x14ac:dyDescent="0.25">
      <c r="A9" s="4" t="s">
        <v>232</v>
      </c>
      <c r="B9" s="147"/>
      <c r="C9" s="4">
        <v>150</v>
      </c>
    </row>
    <row r="10" spans="1:3" ht="102" customHeight="1" x14ac:dyDescent="0.25">
      <c r="A10" s="4" t="s">
        <v>233</v>
      </c>
      <c r="B10" s="147"/>
      <c r="C10" s="4">
        <v>150</v>
      </c>
    </row>
    <row r="11" spans="1:3" ht="102" customHeight="1" x14ac:dyDescent="0.25">
      <c r="A11" s="4" t="s">
        <v>234</v>
      </c>
      <c r="B11" s="147"/>
      <c r="C11" s="4">
        <v>150</v>
      </c>
    </row>
    <row r="12" spans="1:3" ht="102" customHeight="1" x14ac:dyDescent="0.25">
      <c r="A12" s="4" t="s">
        <v>235</v>
      </c>
      <c r="B12" s="147"/>
      <c r="C12" s="4">
        <v>100</v>
      </c>
    </row>
    <row r="13" spans="1:3" ht="102" customHeight="1" x14ac:dyDescent="0.25">
      <c r="A13" s="4" t="s">
        <v>236</v>
      </c>
      <c r="B13" s="147"/>
      <c r="C13" s="4">
        <v>150</v>
      </c>
    </row>
    <row r="14" spans="1:3" ht="102" customHeight="1" x14ac:dyDescent="0.25">
      <c r="A14" s="4" t="s">
        <v>237</v>
      </c>
      <c r="B14" s="147"/>
      <c r="C14" s="4">
        <v>300</v>
      </c>
    </row>
    <row r="15" spans="1:3" ht="102" customHeight="1" x14ac:dyDescent="0.25">
      <c r="A15" s="4" t="s">
        <v>238</v>
      </c>
      <c r="B15" s="147"/>
      <c r="C15" s="4">
        <v>300</v>
      </c>
    </row>
    <row r="16" spans="1:3" ht="120" customHeight="1" x14ac:dyDescent="0.25">
      <c r="A16" s="4" t="s">
        <v>244</v>
      </c>
      <c r="B16" s="147"/>
      <c r="C16" s="4">
        <v>300</v>
      </c>
    </row>
    <row r="17" spans="1:3" ht="102" customHeight="1" x14ac:dyDescent="0.25">
      <c r="A17" s="4" t="s">
        <v>239</v>
      </c>
      <c r="B17" s="147"/>
      <c r="C17" s="4">
        <v>150</v>
      </c>
    </row>
    <row r="18" spans="1:3" ht="102" customHeight="1" x14ac:dyDescent="0.25">
      <c r="A18" s="4" t="s">
        <v>240</v>
      </c>
      <c r="B18" s="147"/>
      <c r="C18" s="4">
        <v>150</v>
      </c>
    </row>
    <row r="19" spans="1:3" ht="102" customHeight="1" x14ac:dyDescent="0.25">
      <c r="A19" s="4" t="s">
        <v>245</v>
      </c>
      <c r="B19" s="147"/>
      <c r="C19" s="4">
        <v>100</v>
      </c>
    </row>
    <row r="20" spans="1:3" ht="102" customHeight="1" x14ac:dyDescent="0.25">
      <c r="A20" s="4" t="s">
        <v>246</v>
      </c>
      <c r="B20" s="147"/>
      <c r="C20" s="4">
        <v>100</v>
      </c>
    </row>
    <row r="21" spans="1:3" ht="102" customHeight="1" x14ac:dyDescent="0.25">
      <c r="A21" s="4" t="s">
        <v>241</v>
      </c>
      <c r="B21" s="147"/>
      <c r="C21" s="4">
        <v>100</v>
      </c>
    </row>
    <row r="22" spans="1:3" ht="102" customHeight="1" x14ac:dyDescent="0.25">
      <c r="A22" s="4" t="s">
        <v>247</v>
      </c>
      <c r="B22" s="147"/>
      <c r="C22" s="4">
        <v>150</v>
      </c>
    </row>
    <row r="23" spans="1:3" ht="102" customHeight="1" x14ac:dyDescent="0.25">
      <c r="A23" s="4" t="s">
        <v>248</v>
      </c>
      <c r="B23" s="147"/>
      <c r="C23" s="4">
        <v>100</v>
      </c>
    </row>
    <row r="24" spans="1:3" ht="127.5" customHeight="1" x14ac:dyDescent="0.25">
      <c r="A24" s="4" t="s">
        <v>249</v>
      </c>
      <c r="B24" s="147"/>
      <c r="C24" s="4">
        <v>200</v>
      </c>
    </row>
    <row r="25" spans="1:3" ht="114" customHeight="1" x14ac:dyDescent="0.25">
      <c r="A25" s="4" t="s">
        <v>250</v>
      </c>
      <c r="B25" s="147"/>
      <c r="C25" s="4">
        <v>200</v>
      </c>
    </row>
    <row r="26" spans="1:3" ht="102" customHeight="1" x14ac:dyDescent="0.25">
      <c r="A26" s="4" t="s">
        <v>251</v>
      </c>
      <c r="B26" s="147"/>
      <c r="C26" s="4">
        <v>100</v>
      </c>
    </row>
    <row r="27" spans="1:3" ht="102" customHeight="1" x14ac:dyDescent="0.25">
      <c r="A27" s="4" t="s">
        <v>252</v>
      </c>
      <c r="B27" s="147"/>
      <c r="C27" s="4">
        <v>150</v>
      </c>
    </row>
    <row r="28" spans="1:3" ht="102" customHeight="1" x14ac:dyDescent="0.25">
      <c r="A28" s="4" t="s">
        <v>242</v>
      </c>
      <c r="B28" s="147"/>
      <c r="C28" s="4">
        <v>100</v>
      </c>
    </row>
    <row r="29" spans="1:3" ht="102" customHeight="1" x14ac:dyDescent="0.25">
      <c r="A29" s="4" t="s">
        <v>253</v>
      </c>
      <c r="B29" s="147"/>
      <c r="C29" s="4">
        <v>100</v>
      </c>
    </row>
  </sheetData>
  <pageMargins left="0.7" right="0.7" top="0.75" bottom="0.75" header="0.3" footer="0.3"/>
  <pageSetup paperSize="9" scale="3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U32"/>
  <sheetViews>
    <sheetView zoomScale="50" zoomScaleNormal="50" workbookViewId="0">
      <selection activeCell="A6" sqref="A6:I7"/>
    </sheetView>
  </sheetViews>
  <sheetFormatPr defaultRowHeight="15" x14ac:dyDescent="0.25"/>
  <cols>
    <col min="1" max="1" width="23.5703125" customWidth="1"/>
    <col min="2" max="2" width="55" customWidth="1"/>
    <col min="3" max="3" width="24.28515625" customWidth="1"/>
    <col min="4" max="4" width="24.42578125" customWidth="1"/>
    <col min="5" max="5" width="28.85546875" customWidth="1"/>
    <col min="6" max="6" width="25.7109375" customWidth="1"/>
    <col min="7" max="7" width="28.5703125" customWidth="1"/>
    <col min="8" max="8" width="24" customWidth="1"/>
    <col min="9" max="9" width="25.42578125" customWidth="1"/>
    <col min="10" max="10" width="24.85546875" customWidth="1"/>
  </cols>
  <sheetData>
    <row r="1" spans="1:20" ht="28.5" x14ac:dyDescent="0.45">
      <c r="A1" s="329" t="s">
        <v>74</v>
      </c>
      <c r="B1" s="329"/>
      <c r="C1" s="329"/>
      <c r="D1" s="329"/>
      <c r="E1" s="329"/>
      <c r="F1" s="50"/>
      <c r="G1" s="50"/>
      <c r="H1" s="50"/>
      <c r="I1" s="50"/>
      <c r="J1" s="50"/>
      <c r="K1" s="50"/>
      <c r="L1" s="3"/>
      <c r="M1" s="3"/>
      <c r="N1" s="62"/>
      <c r="O1" s="62"/>
      <c r="P1" s="62"/>
      <c r="Q1" s="62"/>
      <c r="R1" s="62"/>
      <c r="S1" s="62"/>
      <c r="T1" s="62"/>
    </row>
    <row r="2" spans="1:20" ht="28.5" customHeight="1" x14ac:dyDescent="0.45">
      <c r="A2" s="329" t="s">
        <v>306</v>
      </c>
      <c r="B2" s="329"/>
      <c r="C2" s="329"/>
      <c r="D2" s="329"/>
      <c r="E2" s="51"/>
      <c r="F2" s="50"/>
      <c r="G2" s="50"/>
      <c r="H2" s="50"/>
      <c r="I2" s="50"/>
      <c r="J2" s="50"/>
      <c r="K2" s="50"/>
      <c r="L2" s="3"/>
      <c r="M2" s="3"/>
      <c r="N2" s="62"/>
      <c r="O2" s="62"/>
      <c r="P2" s="62"/>
      <c r="Q2" s="62"/>
      <c r="R2" s="62"/>
      <c r="S2" s="62"/>
      <c r="T2" s="62"/>
    </row>
    <row r="3" spans="1:20" ht="28.5" x14ac:dyDescent="0.45">
      <c r="A3" s="330" t="s">
        <v>9</v>
      </c>
      <c r="B3" s="330"/>
      <c r="C3" s="330"/>
      <c r="D3" s="330"/>
      <c r="E3" s="330"/>
      <c r="F3" s="50"/>
      <c r="G3" s="50"/>
      <c r="H3" s="50"/>
      <c r="I3" s="50"/>
      <c r="J3" s="50"/>
      <c r="K3" s="50"/>
      <c r="L3" s="3"/>
      <c r="M3" s="3"/>
      <c r="N3" s="62"/>
      <c r="O3" s="62"/>
      <c r="P3" s="62"/>
      <c r="Q3" s="62"/>
      <c r="R3" s="62"/>
      <c r="S3" s="62"/>
      <c r="T3" s="62"/>
    </row>
    <row r="4" spans="1:20" ht="28.5" x14ac:dyDescent="0.45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3"/>
      <c r="M4" s="3"/>
      <c r="N4" s="62"/>
      <c r="O4" s="62"/>
      <c r="P4" s="62"/>
      <c r="Q4" s="62"/>
      <c r="R4" s="62"/>
      <c r="S4" s="62"/>
      <c r="T4" s="62"/>
    </row>
    <row r="5" spans="1:20" ht="61.5" customHeight="1" x14ac:dyDescent="0.45">
      <c r="A5" s="50"/>
      <c r="B5" s="50"/>
      <c r="C5" s="50"/>
      <c r="D5" s="50"/>
      <c r="E5" s="50"/>
      <c r="F5" s="50"/>
      <c r="G5" s="50"/>
      <c r="H5" s="339" t="s">
        <v>547</v>
      </c>
      <c r="I5" s="339"/>
      <c r="J5" s="77"/>
      <c r="K5" s="63"/>
      <c r="L5" s="3"/>
      <c r="M5" s="3"/>
      <c r="N5" s="62"/>
      <c r="O5" s="62"/>
      <c r="P5" s="62"/>
      <c r="Q5" s="62"/>
      <c r="R5" s="62"/>
      <c r="S5" s="62"/>
      <c r="T5" s="62"/>
    </row>
    <row r="6" spans="1:20" ht="28.5" customHeight="1" x14ac:dyDescent="0.45">
      <c r="A6" s="333" t="s">
        <v>318</v>
      </c>
      <c r="B6" s="333"/>
      <c r="C6" s="333"/>
      <c r="D6" s="333"/>
      <c r="E6" s="333"/>
      <c r="F6" s="333"/>
      <c r="G6" s="333"/>
      <c r="H6" s="333"/>
      <c r="I6" s="333"/>
      <c r="J6" s="70"/>
      <c r="K6" s="70"/>
      <c r="L6" s="3"/>
      <c r="M6" s="3"/>
      <c r="N6" s="62"/>
      <c r="O6" s="62"/>
      <c r="P6" s="62"/>
      <c r="Q6" s="62"/>
      <c r="R6" s="62"/>
      <c r="S6" s="62"/>
      <c r="T6" s="62"/>
    </row>
    <row r="7" spans="1:20" ht="28.5" customHeight="1" x14ac:dyDescent="0.45">
      <c r="A7" s="333"/>
      <c r="B7" s="333"/>
      <c r="C7" s="333"/>
      <c r="D7" s="333"/>
      <c r="E7" s="333"/>
      <c r="F7" s="333"/>
      <c r="G7" s="333"/>
      <c r="H7" s="333"/>
      <c r="I7" s="333"/>
      <c r="J7" s="70"/>
      <c r="K7" s="70"/>
      <c r="L7" s="3"/>
      <c r="M7" s="3"/>
      <c r="N7" s="62"/>
      <c r="O7" s="62"/>
      <c r="P7" s="62"/>
      <c r="Q7" s="62"/>
      <c r="R7" s="62"/>
      <c r="S7" s="62"/>
      <c r="T7" s="62"/>
    </row>
    <row r="8" spans="1:20" ht="33" x14ac:dyDescent="0.45">
      <c r="A8" s="317" t="s">
        <v>319</v>
      </c>
      <c r="B8" s="317"/>
      <c r="C8" s="317"/>
      <c r="D8" s="317"/>
      <c r="E8" s="317"/>
      <c r="F8" s="317"/>
      <c r="G8" s="317"/>
      <c r="H8" s="317"/>
      <c r="I8" s="317"/>
      <c r="J8" s="63"/>
      <c r="K8" s="103"/>
      <c r="L8" s="3"/>
      <c r="M8" s="3"/>
      <c r="N8" s="62"/>
      <c r="O8" s="62"/>
      <c r="P8" s="62"/>
      <c r="Q8" s="62"/>
      <c r="R8" s="62"/>
      <c r="S8" s="62"/>
      <c r="T8" s="62"/>
    </row>
    <row r="9" spans="1:20" ht="31.5" thickBot="1" x14ac:dyDescent="0.5">
      <c r="A9" s="395" t="s">
        <v>101</v>
      </c>
      <c r="B9" s="395"/>
      <c r="C9" s="395"/>
      <c r="D9" s="395"/>
      <c r="E9" s="395"/>
      <c r="F9" s="395"/>
      <c r="G9" s="395"/>
      <c r="H9" s="395"/>
      <c r="I9" s="395"/>
      <c r="J9" s="395"/>
      <c r="K9" s="395"/>
      <c r="L9" s="3"/>
      <c r="M9" s="3"/>
      <c r="N9" s="62"/>
      <c r="O9" s="62"/>
      <c r="P9" s="62"/>
      <c r="Q9" s="62"/>
      <c r="R9" s="62"/>
      <c r="S9" s="62"/>
      <c r="T9" s="62"/>
    </row>
    <row r="10" spans="1:20" ht="29.25" thickBot="1" x14ac:dyDescent="0.5">
      <c r="A10" s="567" t="s">
        <v>17</v>
      </c>
      <c r="B10" s="567"/>
      <c r="C10" s="564" t="s">
        <v>85</v>
      </c>
      <c r="D10" s="565"/>
      <c r="E10" s="565"/>
      <c r="F10" s="565"/>
      <c r="G10" s="565"/>
      <c r="H10" s="565"/>
      <c r="I10" s="566"/>
      <c r="J10" s="51"/>
      <c r="K10" s="3"/>
      <c r="L10" s="62"/>
      <c r="M10" s="62"/>
      <c r="N10" s="62"/>
      <c r="O10" s="62"/>
      <c r="P10" s="62"/>
    </row>
    <row r="11" spans="1:20" ht="29.25" thickBot="1" x14ac:dyDescent="0.5">
      <c r="A11" s="568"/>
      <c r="B11" s="568"/>
      <c r="C11" s="52" t="s">
        <v>78</v>
      </c>
      <c r="D11" s="52" t="s">
        <v>79</v>
      </c>
      <c r="E11" s="52" t="s">
        <v>80</v>
      </c>
      <c r="F11" s="52" t="s">
        <v>81</v>
      </c>
      <c r="G11" s="52" t="s">
        <v>82</v>
      </c>
      <c r="H11" s="52" t="s">
        <v>83</v>
      </c>
      <c r="I11" s="52" t="s">
        <v>84</v>
      </c>
      <c r="J11" s="3"/>
      <c r="K11" s="3"/>
      <c r="L11" s="62"/>
      <c r="M11" s="62"/>
      <c r="N11" s="62"/>
      <c r="O11" s="62"/>
      <c r="P11" s="62"/>
    </row>
    <row r="12" spans="1:20" ht="48" customHeight="1" x14ac:dyDescent="0.6">
      <c r="A12" s="15">
        <v>10</v>
      </c>
      <c r="B12" s="14" t="s">
        <v>87</v>
      </c>
      <c r="C12" s="186">
        <f>200+2360</f>
        <v>2560</v>
      </c>
      <c r="D12" s="187">
        <f>200+2500</f>
        <v>2700</v>
      </c>
      <c r="E12" s="187">
        <f>200+2790</f>
        <v>2990</v>
      </c>
      <c r="F12" s="187">
        <f>200+2865</f>
        <v>3065</v>
      </c>
      <c r="G12" s="187">
        <f>200+3250</f>
        <v>3450</v>
      </c>
      <c r="H12" s="188">
        <f>200+3730</f>
        <v>3930</v>
      </c>
      <c r="I12" s="189">
        <f>200+4400</f>
        <v>4600</v>
      </c>
      <c r="J12" s="3"/>
      <c r="K12" s="3"/>
      <c r="L12" s="62"/>
      <c r="M12" s="62"/>
      <c r="N12" s="62"/>
      <c r="O12" s="62"/>
      <c r="P12" s="62"/>
    </row>
    <row r="13" spans="1:20" ht="45" x14ac:dyDescent="0.6">
      <c r="A13" s="13">
        <v>16</v>
      </c>
      <c r="B13" s="2" t="s">
        <v>88</v>
      </c>
      <c r="C13" s="190">
        <f>200+2560</f>
        <v>2760</v>
      </c>
      <c r="D13" s="191">
        <f>200+2700</f>
        <v>2900</v>
      </c>
      <c r="E13" s="191">
        <f>200+2990</f>
        <v>3190</v>
      </c>
      <c r="F13" s="191">
        <f>200+3065</f>
        <v>3265</v>
      </c>
      <c r="G13" s="191">
        <f>200+3450</f>
        <v>3650</v>
      </c>
      <c r="H13" s="192">
        <f>200+3930</f>
        <v>4130</v>
      </c>
      <c r="I13" s="193">
        <f>200+4350</f>
        <v>4550</v>
      </c>
      <c r="J13" s="3"/>
      <c r="K13" s="3"/>
      <c r="L13" s="62"/>
      <c r="M13" s="62"/>
      <c r="N13" s="62"/>
      <c r="O13" s="62"/>
      <c r="P13" s="62"/>
    </row>
    <row r="14" spans="1:20" ht="48" customHeight="1" x14ac:dyDescent="0.6">
      <c r="A14" s="13">
        <v>10</v>
      </c>
      <c r="B14" s="2" t="s">
        <v>86</v>
      </c>
      <c r="C14" s="190">
        <f>200+2500</f>
        <v>2700</v>
      </c>
      <c r="D14" s="191">
        <f>200+2640</f>
        <v>2840</v>
      </c>
      <c r="E14" s="191">
        <f>200+2930</f>
        <v>3130</v>
      </c>
      <c r="F14" s="191">
        <f>200+3005</f>
        <v>3205</v>
      </c>
      <c r="G14" s="191">
        <f>200+3390</f>
        <v>3590</v>
      </c>
      <c r="H14" s="192">
        <f>200+3870</f>
        <v>4070</v>
      </c>
      <c r="I14" s="193">
        <f>200+4540</f>
        <v>4740</v>
      </c>
      <c r="J14" s="3"/>
      <c r="K14" s="3"/>
      <c r="L14" s="3"/>
      <c r="M14" s="3"/>
      <c r="N14" s="62"/>
      <c r="O14" s="62"/>
      <c r="P14" s="62"/>
      <c r="Q14" s="62"/>
      <c r="R14" s="62"/>
      <c r="S14" s="62"/>
      <c r="T14" s="62"/>
    </row>
    <row r="15" spans="1:20" ht="48" customHeight="1" thickBot="1" x14ac:dyDescent="0.65">
      <c r="A15" s="12">
        <v>16</v>
      </c>
      <c r="B15" s="16" t="s">
        <v>86</v>
      </c>
      <c r="C15" s="194">
        <f>200+2700</f>
        <v>2900</v>
      </c>
      <c r="D15" s="195">
        <f>200+2840</f>
        <v>3040</v>
      </c>
      <c r="E15" s="195">
        <f>200+3130</f>
        <v>3330</v>
      </c>
      <c r="F15" s="195">
        <f>200+3205</f>
        <v>3405</v>
      </c>
      <c r="G15" s="195">
        <f>200+3590</f>
        <v>3790</v>
      </c>
      <c r="H15" s="196">
        <f>200+4070</f>
        <v>4270</v>
      </c>
      <c r="I15" s="197">
        <f>200+4490</f>
        <v>4690</v>
      </c>
      <c r="J15" s="3"/>
      <c r="K15" s="3"/>
      <c r="L15" s="104"/>
      <c r="M15" s="104"/>
      <c r="N15" s="62"/>
      <c r="O15" s="62"/>
      <c r="P15" s="62"/>
      <c r="Q15" s="62"/>
      <c r="R15" s="62"/>
      <c r="S15" s="62"/>
      <c r="T15" s="62"/>
    </row>
    <row r="16" spans="1:20" ht="28.5" x14ac:dyDescent="0.45">
      <c r="A16" s="53"/>
      <c r="B16" s="53"/>
      <c r="C16" s="53"/>
      <c r="D16" s="53"/>
      <c r="E16" s="54"/>
      <c r="F16" s="55"/>
      <c r="G16" s="56"/>
      <c r="H16" s="56"/>
      <c r="I16" s="3"/>
      <c r="J16" s="3"/>
      <c r="K16" s="3"/>
      <c r="L16" s="104"/>
      <c r="M16" s="104"/>
      <c r="N16" s="62"/>
      <c r="O16" s="62"/>
      <c r="P16" s="62"/>
      <c r="Q16" s="62"/>
      <c r="R16" s="62"/>
      <c r="S16" s="62"/>
      <c r="T16" s="62"/>
    </row>
    <row r="17" spans="1:21" ht="28.5" customHeight="1" x14ac:dyDescent="0.45">
      <c r="B17" s="318" t="s">
        <v>375</v>
      </c>
      <c r="C17" s="318"/>
      <c r="D17" s="318"/>
      <c r="E17" s="318"/>
      <c r="F17" s="318"/>
      <c r="G17" s="318"/>
      <c r="H17" s="3"/>
      <c r="I17" s="3"/>
      <c r="J17" s="3"/>
      <c r="K17" s="3"/>
      <c r="L17" s="104"/>
      <c r="M17" s="104"/>
      <c r="N17" s="62"/>
      <c r="O17" s="62"/>
      <c r="P17" s="62"/>
      <c r="Q17" s="62"/>
      <c r="R17" s="62"/>
      <c r="S17" s="62"/>
      <c r="T17" s="62"/>
    </row>
    <row r="18" spans="1:21" ht="28.5" customHeight="1" thickBot="1" x14ac:dyDescent="0.5">
      <c r="B18" s="318" t="s">
        <v>444</v>
      </c>
      <c r="C18" s="318"/>
      <c r="D18" s="318"/>
      <c r="E18" s="318"/>
      <c r="F18" s="318"/>
      <c r="G18" s="318"/>
      <c r="H18" s="3"/>
      <c r="I18" s="3"/>
      <c r="J18" s="3"/>
      <c r="K18" s="3"/>
      <c r="L18" s="104"/>
      <c r="M18" s="104"/>
      <c r="N18" s="62"/>
      <c r="O18" s="62"/>
      <c r="P18" s="62"/>
      <c r="Q18" s="62"/>
      <c r="R18" s="62"/>
      <c r="S18" s="62"/>
      <c r="T18" s="62"/>
    </row>
    <row r="19" spans="1:21" ht="28.5" customHeight="1" x14ac:dyDescent="0.45">
      <c r="B19" s="488"/>
      <c r="C19" s="488"/>
      <c r="D19" s="57" t="s">
        <v>175</v>
      </c>
      <c r="E19" s="57" t="s">
        <v>176</v>
      </c>
      <c r="F19" s="57" t="s">
        <v>177</v>
      </c>
      <c r="G19" s="58" t="s">
        <v>178</v>
      </c>
      <c r="H19" s="3"/>
      <c r="I19" s="3"/>
      <c r="J19" s="3"/>
      <c r="K19" s="62"/>
      <c r="L19" s="62"/>
      <c r="M19" s="104"/>
      <c r="N19" s="104"/>
      <c r="O19" s="62"/>
      <c r="P19" s="62"/>
      <c r="Q19" s="62"/>
      <c r="R19" s="62"/>
      <c r="S19" s="62"/>
      <c r="T19" s="62"/>
      <c r="U19" s="62"/>
    </row>
    <row r="20" spans="1:21" ht="28.5" customHeight="1" thickBot="1" x14ac:dyDescent="0.5">
      <c r="B20" s="488" t="s">
        <v>179</v>
      </c>
      <c r="C20" s="488"/>
      <c r="D20" s="59" t="s">
        <v>180</v>
      </c>
      <c r="E20" s="59" t="s">
        <v>181</v>
      </c>
      <c r="F20" s="59" t="s">
        <v>182</v>
      </c>
      <c r="G20" s="60" t="s">
        <v>181</v>
      </c>
      <c r="H20" s="3"/>
      <c r="I20" s="3"/>
      <c r="J20" s="3"/>
      <c r="K20" s="62"/>
      <c r="L20" s="62"/>
      <c r="M20" s="104"/>
      <c r="N20" s="104"/>
      <c r="O20" s="62"/>
      <c r="P20" s="62"/>
      <c r="Q20" s="62"/>
      <c r="R20" s="62"/>
      <c r="S20" s="62"/>
      <c r="T20" s="62"/>
      <c r="U20" s="62"/>
    </row>
    <row r="21" spans="1:21" ht="42" customHeight="1" x14ac:dyDescent="0.6">
      <c r="B21" s="488" t="s">
        <v>183</v>
      </c>
      <c r="C21" s="488"/>
      <c r="D21" s="198">
        <f>200+4190</f>
        <v>4390</v>
      </c>
      <c r="E21" s="198">
        <f>200+4700</f>
        <v>4900</v>
      </c>
      <c r="F21" s="198">
        <f>200+5700</f>
        <v>5900</v>
      </c>
      <c r="G21" s="198">
        <f>200+6100</f>
        <v>6300</v>
      </c>
      <c r="H21" s="3"/>
      <c r="I21" s="3"/>
      <c r="J21" s="3"/>
      <c r="K21" s="62"/>
      <c r="L21" s="62"/>
      <c r="M21" s="104"/>
      <c r="N21" s="104"/>
      <c r="O21" s="62"/>
      <c r="P21" s="62"/>
      <c r="Q21" s="62"/>
      <c r="R21" s="62"/>
      <c r="S21" s="62"/>
      <c r="T21" s="62"/>
      <c r="U21" s="62"/>
    </row>
    <row r="22" spans="1:21" ht="45" customHeight="1" x14ac:dyDescent="0.6">
      <c r="B22" s="488" t="s">
        <v>184</v>
      </c>
      <c r="C22" s="488"/>
      <c r="D22" s="199">
        <f>200+3490</f>
        <v>3690</v>
      </c>
      <c r="E22" s="199">
        <f>200+3700</f>
        <v>3900</v>
      </c>
      <c r="F22" s="199">
        <f>200+4700</f>
        <v>4900</v>
      </c>
      <c r="G22" s="199">
        <f>200+5100</f>
        <v>5300</v>
      </c>
      <c r="H22" s="3"/>
      <c r="I22" s="3"/>
      <c r="J22" s="3"/>
      <c r="K22" s="62"/>
      <c r="L22" s="62"/>
      <c r="M22" s="104"/>
      <c r="N22" s="104"/>
      <c r="O22" s="62"/>
      <c r="P22" s="62"/>
      <c r="Q22" s="62"/>
      <c r="R22" s="62"/>
      <c r="S22" s="62"/>
      <c r="T22" s="62"/>
      <c r="U22" s="62"/>
    </row>
    <row r="23" spans="1:21" ht="28.5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104"/>
      <c r="M23" s="104"/>
      <c r="N23" s="62"/>
      <c r="O23" s="62"/>
      <c r="P23" s="62"/>
      <c r="Q23" s="62"/>
      <c r="R23" s="62"/>
      <c r="S23" s="62"/>
      <c r="T23" s="62"/>
    </row>
    <row r="24" spans="1:21" ht="30" customHeight="1" x14ac:dyDescent="0.45">
      <c r="B24" s="563" t="s">
        <v>186</v>
      </c>
      <c r="C24" s="563"/>
      <c r="D24" s="563"/>
      <c r="E24" s="563"/>
      <c r="F24" s="563"/>
      <c r="G24" s="563"/>
      <c r="H24" s="133"/>
      <c r="I24" s="133"/>
      <c r="J24" s="104"/>
      <c r="K24" s="104"/>
      <c r="L24" s="3"/>
      <c r="M24" s="3"/>
      <c r="N24" s="62"/>
      <c r="O24" s="62"/>
      <c r="P24" s="62"/>
      <c r="Q24" s="62"/>
      <c r="R24" s="62"/>
      <c r="S24" s="62"/>
      <c r="T24" s="62"/>
    </row>
    <row r="25" spans="1:21" ht="33" customHeight="1" x14ac:dyDescent="0.4">
      <c r="A25" s="133"/>
      <c r="B25" s="133" t="s">
        <v>429</v>
      </c>
      <c r="C25" s="133"/>
      <c r="D25" s="133"/>
      <c r="E25" s="133"/>
      <c r="F25" s="133"/>
      <c r="G25" s="133"/>
      <c r="H25" s="133"/>
      <c r="I25" s="133"/>
      <c r="J25" s="104"/>
      <c r="K25" s="104"/>
      <c r="L25" s="3"/>
      <c r="M25" s="3"/>
    </row>
    <row r="26" spans="1:21" ht="37.5" customHeight="1" x14ac:dyDescent="0.25">
      <c r="B26" s="133" t="s">
        <v>430</v>
      </c>
      <c r="C26" s="133"/>
      <c r="D26" s="133"/>
      <c r="E26" s="133"/>
      <c r="F26" s="133"/>
      <c r="G26" s="133"/>
      <c r="H26" s="133"/>
      <c r="I26" s="133"/>
      <c r="J26" s="104"/>
      <c r="K26" s="104"/>
    </row>
    <row r="27" spans="1:21" ht="36" customHeight="1" x14ac:dyDescent="0.25">
      <c r="B27" s="133" t="s">
        <v>431</v>
      </c>
      <c r="C27" s="133"/>
      <c r="D27" s="133"/>
      <c r="E27" s="133"/>
      <c r="F27" s="133"/>
      <c r="G27" s="133"/>
      <c r="H27" s="133"/>
      <c r="I27" s="133"/>
      <c r="J27" s="104"/>
      <c r="K27" s="104"/>
    </row>
    <row r="28" spans="1:21" ht="33" customHeight="1" x14ac:dyDescent="0.25">
      <c r="B28" s="133" t="s">
        <v>432</v>
      </c>
      <c r="C28" s="133"/>
      <c r="D28" s="133"/>
      <c r="E28" s="133"/>
      <c r="F28" s="133"/>
      <c r="G28" s="133"/>
      <c r="H28" s="133"/>
      <c r="I28" s="133"/>
      <c r="J28" s="104"/>
      <c r="K28" s="104"/>
    </row>
    <row r="29" spans="1:21" ht="36" customHeight="1" x14ac:dyDescent="0.25">
      <c r="B29" s="133" t="s">
        <v>433</v>
      </c>
      <c r="C29" s="133"/>
      <c r="D29" s="133"/>
      <c r="E29" s="133"/>
      <c r="F29" s="133"/>
      <c r="G29" s="133"/>
      <c r="H29" s="133"/>
      <c r="I29" s="133"/>
      <c r="J29" s="104"/>
      <c r="K29" s="104"/>
    </row>
    <row r="30" spans="1:21" ht="36" customHeight="1" x14ac:dyDescent="0.25">
      <c r="B30" s="133" t="s">
        <v>434</v>
      </c>
      <c r="C30" s="133"/>
      <c r="D30" s="133"/>
      <c r="E30" s="133"/>
      <c r="F30" s="133"/>
      <c r="G30" s="133"/>
      <c r="H30" s="133"/>
      <c r="I30" s="133"/>
      <c r="J30" s="104"/>
      <c r="K30" s="104"/>
    </row>
    <row r="31" spans="1:21" ht="27.75" x14ac:dyDescent="0.4">
      <c r="A31" s="61" t="s">
        <v>185</v>
      </c>
      <c r="B31" s="3"/>
      <c r="C31" s="3"/>
      <c r="D31" s="3"/>
      <c r="E31" s="3"/>
      <c r="F31" s="3"/>
      <c r="G31" s="3"/>
      <c r="H31" s="3"/>
      <c r="I31" s="3"/>
      <c r="J31" s="3"/>
      <c r="K31" s="3"/>
    </row>
    <row r="32" spans="1:21" ht="27.75" x14ac:dyDescent="0.4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</row>
  </sheetData>
  <mergeCells count="17">
    <mergeCell ref="A1:E1"/>
    <mergeCell ref="A2:D2"/>
    <mergeCell ref="A3:E3"/>
    <mergeCell ref="B19:C19"/>
    <mergeCell ref="A9:K9"/>
    <mergeCell ref="C10:I10"/>
    <mergeCell ref="A10:A11"/>
    <mergeCell ref="B10:B11"/>
    <mergeCell ref="A6:I7"/>
    <mergeCell ref="A8:I8"/>
    <mergeCell ref="B24:G24"/>
    <mergeCell ref="B18:G18"/>
    <mergeCell ref="H5:I5"/>
    <mergeCell ref="B17:G17"/>
    <mergeCell ref="B20:C20"/>
    <mergeCell ref="B21:C21"/>
    <mergeCell ref="B22:C22"/>
  </mergeCells>
  <hyperlinks>
    <hyperlink ref="A3:D3" r:id="rId1" display="e-mail: at-mebel.fasad@mail.ru"/>
    <hyperlink ref="A3" r:id="rId2" display="at-mebel.fasad@mail.ru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29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31"/>
  <sheetViews>
    <sheetView topLeftCell="A16" zoomScale="50" zoomScaleNormal="50" workbookViewId="0">
      <selection activeCell="H20" sqref="H20"/>
    </sheetView>
  </sheetViews>
  <sheetFormatPr defaultRowHeight="15" x14ac:dyDescent="0.25"/>
  <cols>
    <col min="1" max="1" width="17.42578125" customWidth="1"/>
    <col min="2" max="4" width="90.7109375" customWidth="1"/>
    <col min="5" max="5" width="19.42578125" customWidth="1"/>
    <col min="6" max="6" width="33.7109375" customWidth="1"/>
    <col min="7" max="7" width="0.28515625" hidden="1" customWidth="1"/>
    <col min="8" max="8" width="30.5703125" customWidth="1"/>
  </cols>
  <sheetData>
    <row r="1" spans="1:8" ht="27.75" x14ac:dyDescent="0.4">
      <c r="A1" s="3" t="s">
        <v>68</v>
      </c>
      <c r="B1" s="3"/>
      <c r="C1" s="3"/>
      <c r="D1" s="3"/>
      <c r="E1" s="3"/>
      <c r="F1" s="3"/>
      <c r="G1" s="3"/>
      <c r="H1" s="3"/>
    </row>
    <row r="2" spans="1:8" ht="27.75" x14ac:dyDescent="0.4">
      <c r="A2" s="3" t="s">
        <v>196</v>
      </c>
      <c r="B2" s="3"/>
      <c r="C2" s="3"/>
      <c r="D2" s="3"/>
      <c r="E2" s="3"/>
      <c r="F2" s="3"/>
      <c r="G2" s="3"/>
      <c r="H2" s="3"/>
    </row>
    <row r="3" spans="1:8" ht="27.75" x14ac:dyDescent="0.4">
      <c r="A3" s="3" t="s">
        <v>9</v>
      </c>
      <c r="B3" s="3"/>
      <c r="C3" s="3"/>
      <c r="D3" s="3"/>
      <c r="E3" s="3"/>
      <c r="F3" s="3"/>
      <c r="G3" s="3"/>
      <c r="H3" s="3"/>
    </row>
    <row r="4" spans="1:8" ht="27.75" x14ac:dyDescent="0.4">
      <c r="A4" s="3"/>
      <c r="B4" s="3"/>
      <c r="C4" s="3"/>
      <c r="D4" s="3"/>
      <c r="E4" s="3"/>
      <c r="F4" s="3"/>
      <c r="G4" s="3"/>
      <c r="H4" s="3"/>
    </row>
    <row r="5" spans="1:8" ht="27.75" x14ac:dyDescent="0.4">
      <c r="A5" s="3"/>
      <c r="B5" s="3"/>
      <c r="C5" s="3"/>
      <c r="D5" s="3"/>
      <c r="E5" s="3"/>
      <c r="F5" s="3"/>
      <c r="G5" s="3"/>
      <c r="H5" s="3"/>
    </row>
    <row r="6" spans="1:8" ht="27.75" x14ac:dyDescent="0.4">
      <c r="A6" s="3"/>
      <c r="B6" s="571" t="s">
        <v>69</v>
      </c>
      <c r="C6" s="571"/>
      <c r="D6" s="571"/>
      <c r="E6" s="3"/>
      <c r="F6" s="3"/>
      <c r="G6" s="3"/>
      <c r="H6" s="3"/>
    </row>
    <row r="7" spans="1:8" ht="28.5" thickBot="1" x14ac:dyDescent="0.45">
      <c r="A7" s="3"/>
      <c r="B7" s="3"/>
      <c r="C7" s="3"/>
      <c r="D7" s="3"/>
      <c r="E7" s="3"/>
      <c r="F7" s="3"/>
      <c r="G7" s="3"/>
      <c r="H7" s="3"/>
    </row>
    <row r="8" spans="1:8" ht="27.75" x14ac:dyDescent="0.4">
      <c r="A8" s="3"/>
      <c r="B8" s="105" t="s">
        <v>53</v>
      </c>
      <c r="C8" s="106" t="s">
        <v>54</v>
      </c>
      <c r="D8" s="106" t="s">
        <v>58</v>
      </c>
      <c r="E8" s="3"/>
      <c r="F8" s="3"/>
      <c r="G8" s="3"/>
      <c r="H8" s="3"/>
    </row>
    <row r="9" spans="1:8" ht="27.75" x14ac:dyDescent="0.4">
      <c r="A9" s="3"/>
      <c r="B9" s="572" t="s">
        <v>364</v>
      </c>
      <c r="C9" s="109" t="s">
        <v>55</v>
      </c>
      <c r="D9" s="109" t="s">
        <v>59</v>
      </c>
      <c r="E9" s="3"/>
      <c r="F9" s="3"/>
      <c r="G9" s="3"/>
      <c r="H9" s="3"/>
    </row>
    <row r="10" spans="1:8" ht="28.5" thickBot="1" x14ac:dyDescent="0.45">
      <c r="A10" s="3"/>
      <c r="B10" s="573"/>
      <c r="C10" s="109" t="s">
        <v>57</v>
      </c>
      <c r="D10" s="109" t="s">
        <v>66</v>
      </c>
      <c r="E10" s="3"/>
      <c r="F10" s="3"/>
      <c r="G10" s="3"/>
      <c r="H10" s="3"/>
    </row>
    <row r="11" spans="1:8" ht="258" customHeight="1" thickBot="1" x14ac:dyDescent="0.45">
      <c r="A11" s="3"/>
      <c r="B11" s="114"/>
      <c r="C11" s="115"/>
      <c r="D11" s="115"/>
      <c r="E11" s="3"/>
      <c r="F11" s="3"/>
      <c r="G11" s="3"/>
      <c r="H11" s="3"/>
    </row>
    <row r="12" spans="1:8" ht="35.25" customHeight="1" x14ac:dyDescent="0.4">
      <c r="A12" s="3"/>
      <c r="B12" s="107" t="s">
        <v>60</v>
      </c>
      <c r="C12" s="108" t="s">
        <v>62</v>
      </c>
      <c r="D12" s="109" t="s">
        <v>63</v>
      </c>
      <c r="E12" s="3"/>
      <c r="F12" s="3"/>
      <c r="G12" s="3"/>
      <c r="H12" s="3"/>
    </row>
    <row r="13" spans="1:8" ht="21.75" customHeight="1" x14ac:dyDescent="0.4">
      <c r="A13" s="3"/>
      <c r="B13" s="112" t="s">
        <v>61</v>
      </c>
      <c r="C13" s="108" t="s">
        <v>56</v>
      </c>
      <c r="D13" s="109" t="s">
        <v>55</v>
      </c>
      <c r="E13" s="3"/>
      <c r="F13" s="3"/>
      <c r="G13" s="3"/>
      <c r="H13" s="3"/>
    </row>
    <row r="14" spans="1:8" ht="24.75" customHeight="1" thickBot="1" x14ac:dyDescent="0.45">
      <c r="A14" s="3"/>
      <c r="B14" s="112" t="s">
        <v>66</v>
      </c>
      <c r="C14" s="110" t="s">
        <v>343</v>
      </c>
      <c r="D14" s="111" t="s">
        <v>343</v>
      </c>
      <c r="E14" s="3"/>
      <c r="F14" s="3"/>
      <c r="G14" s="3"/>
      <c r="H14" s="3"/>
    </row>
    <row r="15" spans="1:8" ht="258" customHeight="1" thickBot="1" x14ac:dyDescent="0.45">
      <c r="A15" s="3"/>
      <c r="B15" s="116"/>
      <c r="C15" s="117"/>
      <c r="D15" s="118"/>
      <c r="E15" s="3"/>
      <c r="F15" s="3"/>
      <c r="G15" s="3"/>
      <c r="H15" s="3"/>
    </row>
    <row r="16" spans="1:8" ht="27.75" x14ac:dyDescent="0.4">
      <c r="A16" s="3"/>
      <c r="B16" s="109" t="s">
        <v>64</v>
      </c>
      <c r="C16" s="112" t="s">
        <v>65</v>
      </c>
      <c r="D16" s="107" t="s">
        <v>349</v>
      </c>
      <c r="E16" s="3"/>
      <c r="F16" s="3"/>
      <c r="G16" s="3"/>
      <c r="H16" s="3"/>
    </row>
    <row r="17" spans="1:9" ht="27.75" x14ac:dyDescent="0.4">
      <c r="A17" s="3"/>
      <c r="B17" s="109" t="s">
        <v>59</v>
      </c>
      <c r="C17" s="112" t="s">
        <v>61</v>
      </c>
      <c r="D17" s="112" t="s">
        <v>55</v>
      </c>
      <c r="E17" s="3"/>
      <c r="F17" s="3"/>
      <c r="G17" s="3"/>
      <c r="H17" s="3"/>
    </row>
    <row r="18" spans="1:9" ht="28.5" thickBot="1" x14ac:dyDescent="0.45">
      <c r="A18" s="3"/>
      <c r="B18" s="111" t="s">
        <v>344</v>
      </c>
      <c r="C18" s="113" t="s">
        <v>67</v>
      </c>
      <c r="D18" s="112" t="s">
        <v>350</v>
      </c>
      <c r="E18" s="3"/>
      <c r="F18" s="3"/>
      <c r="G18" s="3"/>
      <c r="H18" s="3"/>
    </row>
    <row r="19" spans="1:9" ht="258" customHeight="1" thickBot="1" x14ac:dyDescent="0.45">
      <c r="A19" s="3"/>
      <c r="B19" s="119"/>
      <c r="C19" s="120"/>
      <c r="D19" s="121"/>
      <c r="E19" s="3"/>
      <c r="F19" s="3"/>
      <c r="G19" s="3"/>
      <c r="H19" s="3"/>
    </row>
    <row r="20" spans="1:9" ht="45.75" customHeight="1" x14ac:dyDescent="0.4">
      <c r="A20" s="3"/>
      <c r="B20" s="318" t="s">
        <v>352</v>
      </c>
      <c r="C20" s="318"/>
      <c r="D20" s="318"/>
      <c r="E20" s="318"/>
      <c r="F20" s="3"/>
      <c r="G20" s="3"/>
      <c r="H20" s="3"/>
    </row>
    <row r="21" spans="1:9" ht="75.75" customHeight="1" x14ac:dyDescent="0.4">
      <c r="A21" s="3"/>
      <c r="B21" s="574" t="s">
        <v>351</v>
      </c>
      <c r="C21" s="574"/>
      <c r="D21" s="574"/>
      <c r="E21" s="574"/>
      <c r="F21" s="3"/>
      <c r="G21" s="3"/>
      <c r="H21" s="82"/>
      <c r="I21" s="73"/>
    </row>
    <row r="22" spans="1:9" ht="28.5" thickBot="1" x14ac:dyDescent="0.45">
      <c r="A22" s="3"/>
      <c r="B22" s="3"/>
      <c r="C22" s="3"/>
      <c r="D22" s="3"/>
      <c r="E22" s="3"/>
      <c r="F22" s="3"/>
      <c r="G22" s="3"/>
      <c r="H22" s="82"/>
      <c r="I22" s="73"/>
    </row>
    <row r="23" spans="1:9" ht="27.75" x14ac:dyDescent="0.4">
      <c r="A23" s="465" t="s">
        <v>70</v>
      </c>
      <c r="B23" s="465"/>
      <c r="C23" s="465"/>
      <c r="D23" s="465"/>
      <c r="E23" s="123"/>
      <c r="F23" s="123"/>
      <c r="G23" s="122"/>
      <c r="H23" s="123"/>
      <c r="I23" s="73"/>
    </row>
    <row r="24" spans="1:9" ht="27.75" x14ac:dyDescent="0.4">
      <c r="A24" s="124" t="s">
        <v>353</v>
      </c>
      <c r="B24" s="124" t="s">
        <v>355</v>
      </c>
      <c r="C24" s="124" t="s">
        <v>354</v>
      </c>
      <c r="D24" s="124" t="s">
        <v>345</v>
      </c>
      <c r="E24" s="3"/>
      <c r="F24" s="3"/>
      <c r="G24" s="3"/>
      <c r="H24" s="82"/>
      <c r="I24" s="73"/>
    </row>
    <row r="25" spans="1:9" ht="96.6" customHeight="1" x14ac:dyDescent="0.4">
      <c r="A25" s="546">
        <v>1.2</v>
      </c>
      <c r="B25" s="125" t="s">
        <v>360</v>
      </c>
      <c r="C25" s="569" t="s">
        <v>356</v>
      </c>
      <c r="D25" s="569"/>
      <c r="E25" s="3"/>
      <c r="F25" s="3"/>
      <c r="G25" s="3"/>
      <c r="H25" s="3"/>
    </row>
    <row r="26" spans="1:9" ht="96.6" customHeight="1" x14ac:dyDescent="0.4">
      <c r="A26" s="547"/>
      <c r="B26" s="125" t="s">
        <v>359</v>
      </c>
      <c r="C26" s="570"/>
      <c r="D26" s="570"/>
      <c r="E26" s="3"/>
      <c r="F26" s="3"/>
      <c r="G26" s="3"/>
      <c r="H26" s="3"/>
    </row>
    <row r="27" spans="1:9" ht="192.95" customHeight="1" x14ac:dyDescent="0.4">
      <c r="A27" s="86">
        <v>3.4</v>
      </c>
      <c r="B27" s="125" t="s">
        <v>358</v>
      </c>
      <c r="C27" s="125" t="s">
        <v>363</v>
      </c>
      <c r="D27" s="125"/>
      <c r="E27" s="3"/>
      <c r="F27" s="3"/>
      <c r="G27" s="3"/>
      <c r="H27" s="3"/>
    </row>
    <row r="28" spans="1:9" ht="192.95" customHeight="1" x14ac:dyDescent="0.4">
      <c r="A28" s="86" t="s">
        <v>346</v>
      </c>
      <c r="B28" s="125" t="s">
        <v>361</v>
      </c>
      <c r="C28" s="125" t="s">
        <v>71</v>
      </c>
      <c r="D28" s="125" t="s">
        <v>362</v>
      </c>
      <c r="E28" s="3"/>
      <c r="F28" s="3"/>
      <c r="G28" s="3"/>
      <c r="H28" s="3"/>
    </row>
    <row r="29" spans="1:9" ht="192.95" customHeight="1" x14ac:dyDescent="0.4">
      <c r="A29" s="86">
        <v>9</v>
      </c>
      <c r="B29" s="125" t="s">
        <v>357</v>
      </c>
      <c r="C29" s="125" t="s">
        <v>347</v>
      </c>
      <c r="D29" s="125" t="s">
        <v>348</v>
      </c>
      <c r="E29" s="3"/>
      <c r="F29" s="3"/>
      <c r="G29" s="3"/>
      <c r="H29" s="3"/>
    </row>
    <row r="30" spans="1:9" ht="27.75" x14ac:dyDescent="0.4">
      <c r="A30" s="3"/>
      <c r="B30" s="3"/>
      <c r="C30" s="3"/>
      <c r="D30" s="3"/>
      <c r="E30" s="3"/>
      <c r="F30" s="3"/>
      <c r="G30" s="3"/>
      <c r="H30" s="3"/>
    </row>
    <row r="31" spans="1:9" ht="27.75" x14ac:dyDescent="0.4">
      <c r="A31" s="3"/>
      <c r="B31" s="3"/>
      <c r="C31" s="3"/>
      <c r="D31" s="3"/>
      <c r="E31" s="3"/>
      <c r="F31" s="3"/>
      <c r="G31" s="3"/>
      <c r="H31" s="3"/>
    </row>
  </sheetData>
  <mergeCells count="8">
    <mergeCell ref="A25:A26"/>
    <mergeCell ref="C25:C26"/>
    <mergeCell ref="D25:D26"/>
    <mergeCell ref="B6:D6"/>
    <mergeCell ref="B9:B10"/>
    <mergeCell ref="B20:E20"/>
    <mergeCell ref="B21:E21"/>
    <mergeCell ref="A23:D23"/>
  </mergeCells>
  <pageMargins left="0.70866141732283472" right="0.70866141732283472" top="0.74803149606299213" bottom="0.74803149606299213" header="0.31496062992125984" footer="0.31496062992125984"/>
  <pageSetup paperSize="9" scale="2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P81"/>
  <sheetViews>
    <sheetView zoomScale="50" zoomScaleNormal="50" workbookViewId="0">
      <selection activeCell="R59" sqref="R59"/>
    </sheetView>
  </sheetViews>
  <sheetFormatPr defaultRowHeight="15" x14ac:dyDescent="0.25"/>
  <cols>
    <col min="1" max="1" width="36.7109375" customWidth="1"/>
    <col min="2" max="2" width="31" customWidth="1"/>
    <col min="3" max="10" width="20.7109375" customWidth="1"/>
    <col min="11" max="11" width="30.7109375" customWidth="1"/>
    <col min="12" max="16" width="9.85546875" bestFit="1" customWidth="1"/>
    <col min="17" max="17" width="9.28515625" bestFit="1" customWidth="1"/>
    <col min="18" max="19" width="9.85546875" bestFit="1" customWidth="1"/>
  </cols>
  <sheetData>
    <row r="1" spans="1:16" ht="23.25" x14ac:dyDescent="0.35">
      <c r="A1" s="373" t="s">
        <v>442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6" ht="27.75" x14ac:dyDescent="0.4">
      <c r="A2" s="329" t="s">
        <v>306</v>
      </c>
      <c r="B2" s="329"/>
      <c r="C2" s="329"/>
      <c r="D2" s="329"/>
      <c r="E2" s="329"/>
      <c r="F2" s="329"/>
      <c r="G2" s="329"/>
      <c r="H2" s="329"/>
      <c r="I2" s="329"/>
      <c r="J2" s="329"/>
    </row>
    <row r="3" spans="1:16" ht="23.25" customHeight="1" x14ac:dyDescent="0.25">
      <c r="A3" s="374" t="s">
        <v>9</v>
      </c>
      <c r="B3" s="374"/>
      <c r="C3" s="374"/>
      <c r="D3" s="374"/>
      <c r="E3" s="374"/>
      <c r="F3" s="374"/>
      <c r="G3" s="374"/>
      <c r="H3" s="374"/>
      <c r="I3" s="374"/>
      <c r="J3" s="374"/>
    </row>
    <row r="4" spans="1:16" ht="61.5" customHeight="1" x14ac:dyDescent="0.45">
      <c r="K4" s="339" t="str">
        <f>ПВХ!L5</f>
        <v>По состоянию на 28.04.2021</v>
      </c>
      <c r="L4" s="339"/>
      <c r="M4" s="339"/>
      <c r="N4" s="339"/>
    </row>
    <row r="6" spans="1:16" ht="15" customHeight="1" x14ac:dyDescent="0.45">
      <c r="A6" s="333" t="s">
        <v>318</v>
      </c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70"/>
    </row>
    <row r="7" spans="1:16" ht="15" customHeight="1" x14ac:dyDescent="0.45">
      <c r="A7" s="333"/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70"/>
    </row>
    <row r="8" spans="1:16" ht="27" customHeight="1" x14ac:dyDescent="0.45">
      <c r="A8" s="317" t="s">
        <v>443</v>
      </c>
      <c r="B8" s="317"/>
      <c r="C8" s="318"/>
      <c r="D8" s="318"/>
      <c r="E8" s="318"/>
      <c r="F8" s="318"/>
      <c r="G8" s="318"/>
      <c r="H8" s="318"/>
      <c r="I8" s="318"/>
      <c r="J8" s="318"/>
      <c r="K8" s="318"/>
      <c r="L8" s="318"/>
      <c r="M8" s="318"/>
      <c r="N8" s="318"/>
      <c r="O8" s="270"/>
    </row>
    <row r="9" spans="1:16" ht="27" customHeight="1" x14ac:dyDescent="0.4">
      <c r="A9" s="334" t="s">
        <v>368</v>
      </c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</row>
    <row r="10" spans="1:16" ht="39" customHeight="1" x14ac:dyDescent="0.4">
      <c r="A10" s="375" t="s">
        <v>503</v>
      </c>
      <c r="B10" s="375"/>
      <c r="C10" s="375"/>
      <c r="D10" s="375"/>
      <c r="E10" s="375"/>
      <c r="F10" s="375"/>
      <c r="G10" s="375"/>
      <c r="H10" s="375"/>
      <c r="I10" s="375"/>
      <c r="J10" s="375"/>
      <c r="K10" s="375"/>
      <c r="L10" s="375"/>
      <c r="M10" s="375"/>
      <c r="N10" s="375"/>
      <c r="O10" s="3"/>
      <c r="P10" s="3"/>
    </row>
    <row r="11" spans="1:16" ht="93.75" customHeight="1" x14ac:dyDescent="0.4">
      <c r="A11" s="358" t="s">
        <v>0</v>
      </c>
      <c r="B11" s="358" t="s">
        <v>426</v>
      </c>
      <c r="C11" s="377" t="s">
        <v>5</v>
      </c>
      <c r="D11" s="378"/>
      <c r="E11" s="378"/>
      <c r="F11" s="378"/>
      <c r="G11" s="379" t="s">
        <v>490</v>
      </c>
      <c r="H11" s="378"/>
      <c r="I11" s="378"/>
      <c r="J11" s="380"/>
      <c r="K11" s="381" t="s">
        <v>491</v>
      </c>
      <c r="L11" s="382"/>
      <c r="M11" s="382"/>
      <c r="N11" s="383"/>
      <c r="O11" s="3"/>
      <c r="P11" s="3"/>
    </row>
    <row r="12" spans="1:16" ht="38.1" customHeight="1" x14ac:dyDescent="0.4">
      <c r="A12" s="359"/>
      <c r="B12" s="359"/>
      <c r="C12" s="273" t="s">
        <v>492</v>
      </c>
      <c r="D12" s="273" t="s">
        <v>493</v>
      </c>
      <c r="E12" s="273" t="s">
        <v>494</v>
      </c>
      <c r="F12" s="274" t="s">
        <v>495</v>
      </c>
      <c r="G12" s="275" t="s">
        <v>492</v>
      </c>
      <c r="H12" s="273" t="s">
        <v>493</v>
      </c>
      <c r="I12" s="273" t="s">
        <v>494</v>
      </c>
      <c r="J12" s="273" t="s">
        <v>495</v>
      </c>
      <c r="K12" s="384"/>
      <c r="L12" s="385"/>
      <c r="M12" s="385"/>
      <c r="N12" s="386"/>
      <c r="O12" s="3"/>
      <c r="P12" s="3"/>
    </row>
    <row r="13" spans="1:16" ht="38.1" customHeight="1" x14ac:dyDescent="0.4">
      <c r="A13" s="387" t="s">
        <v>194</v>
      </c>
      <c r="B13" s="387"/>
      <c r="C13" s="387"/>
      <c r="D13" s="387"/>
      <c r="E13" s="387"/>
      <c r="F13" s="387"/>
      <c r="G13" s="387"/>
      <c r="H13" s="387"/>
      <c r="I13" s="387"/>
      <c r="J13" s="387"/>
      <c r="K13" s="387"/>
      <c r="L13" s="387"/>
      <c r="M13" s="387"/>
      <c r="N13" s="387"/>
      <c r="O13" s="3"/>
      <c r="P13" s="3"/>
    </row>
    <row r="14" spans="1:16" ht="38.1" customHeight="1" x14ac:dyDescent="0.4">
      <c r="A14" s="272" t="s">
        <v>1</v>
      </c>
      <c r="B14" s="300"/>
      <c r="C14" s="300">
        <v>4640</v>
      </c>
      <c r="D14" s="300">
        <v>4840</v>
      </c>
      <c r="E14" s="300">
        <v>5340</v>
      </c>
      <c r="F14" s="276">
        <v>5740</v>
      </c>
      <c r="G14" s="277">
        <v>5240</v>
      </c>
      <c r="H14" s="300">
        <v>5440</v>
      </c>
      <c r="I14" s="300">
        <v>5940</v>
      </c>
      <c r="J14" s="300">
        <v>6340</v>
      </c>
      <c r="K14" s="388" t="s">
        <v>2</v>
      </c>
      <c r="L14" s="388"/>
      <c r="M14" s="388"/>
      <c r="N14" s="388"/>
      <c r="O14" s="3"/>
      <c r="P14" s="3"/>
    </row>
    <row r="15" spans="1:16" ht="38.1" customHeight="1" x14ac:dyDescent="0.4">
      <c r="A15" s="354" t="s">
        <v>195</v>
      </c>
      <c r="B15" s="354"/>
      <c r="C15" s="354"/>
      <c r="D15" s="354"/>
      <c r="E15" s="354"/>
      <c r="F15" s="354"/>
      <c r="G15" s="354"/>
      <c r="H15" s="354"/>
      <c r="I15" s="354"/>
      <c r="J15" s="354"/>
      <c r="K15" s="354"/>
      <c r="L15" s="354"/>
      <c r="M15" s="354"/>
      <c r="N15" s="354"/>
      <c r="O15" s="3"/>
      <c r="P15" s="3"/>
    </row>
    <row r="16" spans="1:16" ht="38.1" customHeight="1" x14ac:dyDescent="0.4">
      <c r="A16" s="272" t="s">
        <v>1</v>
      </c>
      <c r="B16" s="281"/>
      <c r="C16" s="300">
        <v>4590</v>
      </c>
      <c r="D16" s="300">
        <v>4790</v>
      </c>
      <c r="E16" s="300">
        <v>5290</v>
      </c>
      <c r="F16" s="276">
        <v>5690</v>
      </c>
      <c r="G16" s="277">
        <v>5190</v>
      </c>
      <c r="H16" s="300">
        <v>5390</v>
      </c>
      <c r="I16" s="300">
        <v>5890</v>
      </c>
      <c r="J16" s="300">
        <v>6290</v>
      </c>
      <c r="K16" s="388" t="s">
        <v>2</v>
      </c>
      <c r="L16" s="388"/>
      <c r="M16" s="388"/>
      <c r="N16" s="388"/>
      <c r="O16" s="3"/>
      <c r="P16" s="3"/>
    </row>
    <row r="17" spans="1:16" ht="38.1" customHeight="1" x14ac:dyDescent="0.4">
      <c r="A17" s="354" t="s">
        <v>10</v>
      </c>
      <c r="B17" s="354"/>
      <c r="C17" s="354"/>
      <c r="D17" s="354"/>
      <c r="E17" s="354"/>
      <c r="F17" s="354"/>
      <c r="G17" s="354"/>
      <c r="H17" s="354"/>
      <c r="I17" s="354"/>
      <c r="J17" s="354"/>
      <c r="K17" s="354"/>
      <c r="L17" s="354"/>
      <c r="M17" s="354"/>
      <c r="N17" s="354"/>
      <c r="O17" s="3"/>
      <c r="P17" s="3"/>
    </row>
    <row r="18" spans="1:16" ht="38.1" customHeight="1" x14ac:dyDescent="0.4">
      <c r="A18" s="355" t="s">
        <v>1</v>
      </c>
      <c r="B18" s="272" t="s">
        <v>425</v>
      </c>
      <c r="C18" s="300">
        <f>D18-200</f>
        <v>4590</v>
      </c>
      <c r="D18" s="300">
        <f>100+4190+200+300</f>
        <v>4790</v>
      </c>
      <c r="E18" s="300">
        <f>D18+500</f>
        <v>5290</v>
      </c>
      <c r="F18" s="278">
        <f>E18+400</f>
        <v>5690</v>
      </c>
      <c r="G18" s="279">
        <f>H18-200</f>
        <v>5190</v>
      </c>
      <c r="H18" s="300">
        <f>100+4790+200+300</f>
        <v>5390</v>
      </c>
      <c r="I18" s="300">
        <f>H18+500</f>
        <v>5890</v>
      </c>
      <c r="J18" s="300">
        <f>I18+400</f>
        <v>6290</v>
      </c>
      <c r="K18" s="357" t="s">
        <v>102</v>
      </c>
      <c r="L18" s="357"/>
      <c r="M18" s="357"/>
      <c r="N18" s="357"/>
      <c r="O18" s="3"/>
      <c r="P18" s="3"/>
    </row>
    <row r="19" spans="1:16" ht="38.1" customHeight="1" x14ac:dyDescent="0.4">
      <c r="A19" s="356"/>
      <c r="B19" s="272" t="s">
        <v>424</v>
      </c>
      <c r="C19" s="300">
        <f t="shared" ref="C19:C25" si="0">D19-200</f>
        <v>7210</v>
      </c>
      <c r="D19" s="300">
        <f>100+6810+200+300</f>
        <v>7410</v>
      </c>
      <c r="E19" s="300">
        <f t="shared" ref="E19:E25" si="1">D19+500</f>
        <v>7910</v>
      </c>
      <c r="F19" s="278">
        <f t="shared" ref="F19:F25" si="2">E19+400</f>
        <v>8310</v>
      </c>
      <c r="G19" s="279">
        <f t="shared" ref="G19:G25" si="3">H19-200</f>
        <v>8410</v>
      </c>
      <c r="H19" s="300">
        <f>100+8010+200+300</f>
        <v>8610</v>
      </c>
      <c r="I19" s="300">
        <f t="shared" ref="I19:I25" si="4">H19+500</f>
        <v>9110</v>
      </c>
      <c r="J19" s="300">
        <f t="shared" ref="J19:J25" si="5">I19+400</f>
        <v>9510</v>
      </c>
      <c r="K19" s="357"/>
      <c r="L19" s="357"/>
      <c r="M19" s="357"/>
      <c r="N19" s="357"/>
      <c r="O19" s="3"/>
      <c r="P19" s="3"/>
    </row>
    <row r="20" spans="1:16" ht="38.1" customHeight="1" x14ac:dyDescent="0.4">
      <c r="A20" s="372" t="s">
        <v>6</v>
      </c>
      <c r="B20" s="272" t="s">
        <v>425</v>
      </c>
      <c r="C20" s="300">
        <f t="shared" si="0"/>
        <v>5190</v>
      </c>
      <c r="D20" s="301">
        <f>100+4790+200+300</f>
        <v>5390</v>
      </c>
      <c r="E20" s="300">
        <f t="shared" si="1"/>
        <v>5890</v>
      </c>
      <c r="F20" s="278">
        <f t="shared" si="2"/>
        <v>6290</v>
      </c>
      <c r="G20" s="279">
        <f t="shared" si="3"/>
        <v>5790</v>
      </c>
      <c r="H20" s="301">
        <f>100+5390+200+300</f>
        <v>5990</v>
      </c>
      <c r="I20" s="300">
        <f t="shared" si="4"/>
        <v>6490</v>
      </c>
      <c r="J20" s="300">
        <f t="shared" si="5"/>
        <v>6890</v>
      </c>
      <c r="K20" s="357"/>
      <c r="L20" s="357"/>
      <c r="M20" s="357"/>
      <c r="N20" s="357"/>
      <c r="O20" s="3"/>
      <c r="P20" s="3"/>
    </row>
    <row r="21" spans="1:16" ht="38.1" customHeight="1" x14ac:dyDescent="0.4">
      <c r="A21" s="372"/>
      <c r="B21" s="272" t="s">
        <v>424</v>
      </c>
      <c r="C21" s="300">
        <f t="shared" si="0"/>
        <v>7810</v>
      </c>
      <c r="D21" s="301">
        <f>100+7410+200+300</f>
        <v>8010</v>
      </c>
      <c r="E21" s="300">
        <f t="shared" si="1"/>
        <v>8510</v>
      </c>
      <c r="F21" s="278">
        <f t="shared" si="2"/>
        <v>8910</v>
      </c>
      <c r="G21" s="279">
        <f t="shared" si="3"/>
        <v>9010</v>
      </c>
      <c r="H21" s="301">
        <f>100+8610+200+300</f>
        <v>9210</v>
      </c>
      <c r="I21" s="300">
        <f t="shared" si="4"/>
        <v>9710</v>
      </c>
      <c r="J21" s="300">
        <f t="shared" si="5"/>
        <v>10110</v>
      </c>
      <c r="K21" s="357"/>
      <c r="L21" s="357"/>
      <c r="M21" s="357"/>
      <c r="N21" s="357"/>
      <c r="O21" s="3"/>
      <c r="P21" s="3"/>
    </row>
    <row r="22" spans="1:16" ht="38.1" customHeight="1" x14ac:dyDescent="0.4">
      <c r="A22" s="372" t="s">
        <v>7</v>
      </c>
      <c r="B22" s="272" t="s">
        <v>425</v>
      </c>
      <c r="C22" s="300">
        <f t="shared" si="0"/>
        <v>5790</v>
      </c>
      <c r="D22" s="301">
        <f>100+5390+200+300</f>
        <v>5990</v>
      </c>
      <c r="E22" s="300">
        <f t="shared" si="1"/>
        <v>6490</v>
      </c>
      <c r="F22" s="278">
        <f t="shared" si="2"/>
        <v>6890</v>
      </c>
      <c r="G22" s="279">
        <f t="shared" si="3"/>
        <v>6390</v>
      </c>
      <c r="H22" s="301">
        <f>100+5990+200+300</f>
        <v>6590</v>
      </c>
      <c r="I22" s="300">
        <f t="shared" si="4"/>
        <v>7090</v>
      </c>
      <c r="J22" s="300">
        <f t="shared" si="5"/>
        <v>7490</v>
      </c>
      <c r="K22" s="357"/>
      <c r="L22" s="357"/>
      <c r="M22" s="357"/>
      <c r="N22" s="357"/>
      <c r="O22" s="3"/>
      <c r="P22" s="3"/>
    </row>
    <row r="23" spans="1:16" ht="38.1" customHeight="1" x14ac:dyDescent="0.4">
      <c r="A23" s="372"/>
      <c r="B23" s="272" t="s">
        <v>424</v>
      </c>
      <c r="C23" s="300">
        <f t="shared" si="0"/>
        <v>8410</v>
      </c>
      <c r="D23" s="301">
        <f>100+8010+200+300</f>
        <v>8610</v>
      </c>
      <c r="E23" s="300">
        <f t="shared" si="1"/>
        <v>9110</v>
      </c>
      <c r="F23" s="278">
        <f t="shared" si="2"/>
        <v>9510</v>
      </c>
      <c r="G23" s="279">
        <f t="shared" si="3"/>
        <v>9610</v>
      </c>
      <c r="H23" s="301">
        <f>100+9210+200+300</f>
        <v>9810</v>
      </c>
      <c r="I23" s="300">
        <f t="shared" si="4"/>
        <v>10310</v>
      </c>
      <c r="J23" s="300">
        <f t="shared" si="5"/>
        <v>10710</v>
      </c>
      <c r="K23" s="357"/>
      <c r="L23" s="357"/>
      <c r="M23" s="357"/>
      <c r="N23" s="357"/>
      <c r="O23" s="3"/>
      <c r="P23" s="3"/>
    </row>
    <row r="24" spans="1:16" ht="38.1" customHeight="1" x14ac:dyDescent="0.4">
      <c r="A24" s="372" t="s">
        <v>52</v>
      </c>
      <c r="B24" s="272" t="s">
        <v>425</v>
      </c>
      <c r="C24" s="300">
        <f t="shared" si="0"/>
        <v>6190</v>
      </c>
      <c r="D24" s="301">
        <f>100+5790+200+300</f>
        <v>6390</v>
      </c>
      <c r="E24" s="300">
        <f t="shared" si="1"/>
        <v>6890</v>
      </c>
      <c r="F24" s="278">
        <f t="shared" si="2"/>
        <v>7290</v>
      </c>
      <c r="G24" s="279">
        <f t="shared" si="3"/>
        <v>6790</v>
      </c>
      <c r="H24" s="301">
        <f>100+6390+200+300</f>
        <v>6990</v>
      </c>
      <c r="I24" s="300">
        <f t="shared" si="4"/>
        <v>7490</v>
      </c>
      <c r="J24" s="300">
        <f t="shared" si="5"/>
        <v>7890</v>
      </c>
      <c r="K24" s="357"/>
      <c r="L24" s="357"/>
      <c r="M24" s="357"/>
      <c r="N24" s="357"/>
      <c r="O24" s="3"/>
      <c r="P24" s="3"/>
    </row>
    <row r="25" spans="1:16" ht="38.1" customHeight="1" x14ac:dyDescent="0.4">
      <c r="A25" s="372"/>
      <c r="B25" s="272" t="s">
        <v>424</v>
      </c>
      <c r="C25" s="300">
        <f t="shared" si="0"/>
        <v>8810</v>
      </c>
      <c r="D25" s="301">
        <f>100+8410+200+300</f>
        <v>9010</v>
      </c>
      <c r="E25" s="300">
        <f t="shared" si="1"/>
        <v>9510</v>
      </c>
      <c r="F25" s="278">
        <f t="shared" si="2"/>
        <v>9910</v>
      </c>
      <c r="G25" s="279">
        <f t="shared" si="3"/>
        <v>10010</v>
      </c>
      <c r="H25" s="301">
        <f>100+9610+200+300</f>
        <v>10210</v>
      </c>
      <c r="I25" s="300">
        <f t="shared" si="4"/>
        <v>10710</v>
      </c>
      <c r="J25" s="300">
        <f t="shared" si="5"/>
        <v>11110</v>
      </c>
      <c r="K25" s="357"/>
      <c r="L25" s="357"/>
      <c r="M25" s="357"/>
      <c r="N25" s="357"/>
      <c r="O25" s="3"/>
      <c r="P25" s="3"/>
    </row>
    <row r="26" spans="1:16" ht="38.1" customHeight="1" x14ac:dyDescent="0.4">
      <c r="A26" s="354" t="s">
        <v>11</v>
      </c>
      <c r="B26" s="354"/>
      <c r="C26" s="354"/>
      <c r="D26" s="354"/>
      <c r="E26" s="354"/>
      <c r="F26" s="354"/>
      <c r="G26" s="354"/>
      <c r="H26" s="354"/>
      <c r="I26" s="354"/>
      <c r="J26" s="354"/>
      <c r="K26" s="354"/>
      <c r="L26" s="354"/>
      <c r="M26" s="354"/>
      <c r="N26" s="354"/>
      <c r="O26" s="3"/>
      <c r="P26" s="3"/>
    </row>
    <row r="27" spans="1:16" ht="38.1" customHeight="1" x14ac:dyDescent="0.4">
      <c r="A27" s="355" t="s">
        <v>1</v>
      </c>
      <c r="B27" s="272" t="s">
        <v>425</v>
      </c>
      <c r="C27" s="306">
        <f>D27-200</f>
        <v>4870</v>
      </c>
      <c r="D27" s="306">
        <f>100+4470+200+300</f>
        <v>5070</v>
      </c>
      <c r="E27" s="306">
        <f>D27+500</f>
        <v>5570</v>
      </c>
      <c r="F27" s="278">
        <f>E27+400</f>
        <v>5970</v>
      </c>
      <c r="G27" s="279">
        <f>H27-200</f>
        <v>5470</v>
      </c>
      <c r="H27" s="306">
        <f>100+5070+200+300</f>
        <v>5670</v>
      </c>
      <c r="I27" s="306">
        <f>H27+500</f>
        <v>6170</v>
      </c>
      <c r="J27" s="306">
        <f>I27+400</f>
        <v>6570</v>
      </c>
      <c r="K27" s="357" t="s">
        <v>102</v>
      </c>
      <c r="L27" s="357"/>
      <c r="M27" s="357"/>
      <c r="N27" s="357"/>
      <c r="O27" s="3"/>
      <c r="P27" s="3"/>
    </row>
    <row r="28" spans="1:16" ht="38.1" customHeight="1" x14ac:dyDescent="0.4">
      <c r="A28" s="356"/>
      <c r="B28" s="272" t="s">
        <v>424</v>
      </c>
      <c r="C28" s="306">
        <f t="shared" ref="C28:C34" si="6">D28-200</f>
        <v>7490</v>
      </c>
      <c r="D28" s="306">
        <f>100+7090+200+300</f>
        <v>7690</v>
      </c>
      <c r="E28" s="306">
        <f t="shared" ref="E28:E34" si="7">D28+500</f>
        <v>8190</v>
      </c>
      <c r="F28" s="278">
        <f t="shared" ref="F28:F34" si="8">E28+400</f>
        <v>8590</v>
      </c>
      <c r="G28" s="279">
        <f t="shared" ref="G28:G34" si="9">H28-200</f>
        <v>8690</v>
      </c>
      <c r="H28" s="306">
        <f>100+8290+200+300</f>
        <v>8890</v>
      </c>
      <c r="I28" s="306">
        <f t="shared" ref="I28:I34" si="10">H28+500</f>
        <v>9390</v>
      </c>
      <c r="J28" s="306">
        <f t="shared" ref="J28:J34" si="11">I28+400</f>
        <v>9790</v>
      </c>
      <c r="K28" s="357"/>
      <c r="L28" s="357"/>
      <c r="M28" s="357"/>
      <c r="N28" s="357"/>
      <c r="O28" s="3"/>
      <c r="P28" s="3"/>
    </row>
    <row r="29" spans="1:16" ht="38.1" customHeight="1" x14ac:dyDescent="0.4">
      <c r="A29" s="358" t="s">
        <v>6</v>
      </c>
      <c r="B29" s="272" t="s">
        <v>425</v>
      </c>
      <c r="C29" s="306">
        <f t="shared" si="6"/>
        <v>5470</v>
      </c>
      <c r="D29" s="307">
        <f>100+5070+200+300</f>
        <v>5670</v>
      </c>
      <c r="E29" s="306">
        <f t="shared" si="7"/>
        <v>6170</v>
      </c>
      <c r="F29" s="278">
        <f t="shared" si="8"/>
        <v>6570</v>
      </c>
      <c r="G29" s="279">
        <f t="shared" si="9"/>
        <v>6070</v>
      </c>
      <c r="H29" s="307">
        <f>100+5670+200+300</f>
        <v>6270</v>
      </c>
      <c r="I29" s="306">
        <f t="shared" si="10"/>
        <v>6770</v>
      </c>
      <c r="J29" s="306">
        <f t="shared" si="11"/>
        <v>7170</v>
      </c>
      <c r="K29" s="357"/>
      <c r="L29" s="357"/>
      <c r="M29" s="357"/>
      <c r="N29" s="357"/>
      <c r="O29" s="3"/>
      <c r="P29" s="3"/>
    </row>
    <row r="30" spans="1:16" ht="38.1" customHeight="1" x14ac:dyDescent="0.4">
      <c r="A30" s="359"/>
      <c r="B30" s="272" t="s">
        <v>424</v>
      </c>
      <c r="C30" s="306">
        <f t="shared" si="6"/>
        <v>8090</v>
      </c>
      <c r="D30" s="307">
        <f>100+7690+200+300</f>
        <v>8290</v>
      </c>
      <c r="E30" s="306">
        <f t="shared" si="7"/>
        <v>8790</v>
      </c>
      <c r="F30" s="278">
        <f t="shared" si="8"/>
        <v>9190</v>
      </c>
      <c r="G30" s="279">
        <f t="shared" si="9"/>
        <v>9290</v>
      </c>
      <c r="H30" s="307">
        <f>100+8890+200+300</f>
        <v>9490</v>
      </c>
      <c r="I30" s="306">
        <f t="shared" si="10"/>
        <v>9990</v>
      </c>
      <c r="J30" s="306">
        <f t="shared" si="11"/>
        <v>10390</v>
      </c>
      <c r="K30" s="357"/>
      <c r="L30" s="357"/>
      <c r="M30" s="357"/>
      <c r="N30" s="357"/>
      <c r="O30" s="3"/>
      <c r="P30" s="3"/>
    </row>
    <row r="31" spans="1:16" ht="38.1" customHeight="1" x14ac:dyDescent="0.4">
      <c r="A31" s="358" t="s">
        <v>7</v>
      </c>
      <c r="B31" s="272" t="s">
        <v>425</v>
      </c>
      <c r="C31" s="306">
        <f t="shared" si="6"/>
        <v>6070</v>
      </c>
      <c r="D31" s="307">
        <f>100+5670+200+300</f>
        <v>6270</v>
      </c>
      <c r="E31" s="306">
        <f t="shared" si="7"/>
        <v>6770</v>
      </c>
      <c r="F31" s="278">
        <f t="shared" si="8"/>
        <v>7170</v>
      </c>
      <c r="G31" s="279">
        <f t="shared" si="9"/>
        <v>6670</v>
      </c>
      <c r="H31" s="307">
        <f>100+6270+200+300</f>
        <v>6870</v>
      </c>
      <c r="I31" s="306">
        <f t="shared" si="10"/>
        <v>7370</v>
      </c>
      <c r="J31" s="306">
        <f t="shared" si="11"/>
        <v>7770</v>
      </c>
      <c r="K31" s="357"/>
      <c r="L31" s="357"/>
      <c r="M31" s="357"/>
      <c r="N31" s="357"/>
      <c r="O31" s="3"/>
      <c r="P31" s="3"/>
    </row>
    <row r="32" spans="1:16" ht="38.1" customHeight="1" x14ac:dyDescent="0.4">
      <c r="A32" s="359"/>
      <c r="B32" s="272" t="s">
        <v>424</v>
      </c>
      <c r="C32" s="306">
        <f t="shared" si="6"/>
        <v>8690</v>
      </c>
      <c r="D32" s="307">
        <f>100+8290+200+300</f>
        <v>8890</v>
      </c>
      <c r="E32" s="306">
        <f t="shared" si="7"/>
        <v>9390</v>
      </c>
      <c r="F32" s="278">
        <f t="shared" si="8"/>
        <v>9790</v>
      </c>
      <c r="G32" s="279">
        <f t="shared" si="9"/>
        <v>9890</v>
      </c>
      <c r="H32" s="307">
        <f>100+9490+200+300</f>
        <v>10090</v>
      </c>
      <c r="I32" s="306">
        <f t="shared" si="10"/>
        <v>10590</v>
      </c>
      <c r="J32" s="306">
        <f t="shared" si="11"/>
        <v>10990</v>
      </c>
      <c r="K32" s="357"/>
      <c r="L32" s="357"/>
      <c r="M32" s="357"/>
      <c r="N32" s="357"/>
      <c r="O32" s="3"/>
      <c r="P32" s="3"/>
    </row>
    <row r="33" spans="1:16" ht="38.1" customHeight="1" x14ac:dyDescent="0.4">
      <c r="A33" s="358" t="s">
        <v>52</v>
      </c>
      <c r="B33" s="272" t="s">
        <v>425</v>
      </c>
      <c r="C33" s="306">
        <f t="shared" si="6"/>
        <v>6470</v>
      </c>
      <c r="D33" s="307">
        <f>100+6070+200+300</f>
        <v>6670</v>
      </c>
      <c r="E33" s="306">
        <f t="shared" si="7"/>
        <v>7170</v>
      </c>
      <c r="F33" s="278">
        <f t="shared" si="8"/>
        <v>7570</v>
      </c>
      <c r="G33" s="279">
        <f t="shared" si="9"/>
        <v>7070</v>
      </c>
      <c r="H33" s="307">
        <f>100+6670+200+300</f>
        <v>7270</v>
      </c>
      <c r="I33" s="306">
        <f t="shared" si="10"/>
        <v>7770</v>
      </c>
      <c r="J33" s="306">
        <f t="shared" si="11"/>
        <v>8170</v>
      </c>
      <c r="K33" s="357"/>
      <c r="L33" s="357"/>
      <c r="M33" s="357"/>
      <c r="N33" s="357"/>
      <c r="O33" s="3"/>
      <c r="P33" s="3"/>
    </row>
    <row r="34" spans="1:16" ht="38.1" customHeight="1" x14ac:dyDescent="0.4">
      <c r="A34" s="359"/>
      <c r="B34" s="272" t="s">
        <v>424</v>
      </c>
      <c r="C34" s="306">
        <f t="shared" si="6"/>
        <v>9090</v>
      </c>
      <c r="D34" s="307">
        <f>100+8690+200+300</f>
        <v>9290</v>
      </c>
      <c r="E34" s="306">
        <f t="shared" si="7"/>
        <v>9790</v>
      </c>
      <c r="F34" s="278">
        <f t="shared" si="8"/>
        <v>10190</v>
      </c>
      <c r="G34" s="279">
        <f t="shared" si="9"/>
        <v>10290</v>
      </c>
      <c r="H34" s="307">
        <f>100+9890+200+300</f>
        <v>10490</v>
      </c>
      <c r="I34" s="306">
        <f t="shared" si="10"/>
        <v>10990</v>
      </c>
      <c r="J34" s="306">
        <f t="shared" si="11"/>
        <v>11390</v>
      </c>
      <c r="K34" s="357"/>
      <c r="L34" s="357"/>
      <c r="M34" s="357"/>
      <c r="N34" s="357"/>
      <c r="O34" s="3"/>
      <c r="P34" s="3"/>
    </row>
    <row r="35" spans="1:16" ht="38.1" customHeight="1" x14ac:dyDescent="0.4">
      <c r="A35" s="360" t="s">
        <v>12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1"/>
      <c r="N35" s="362"/>
      <c r="O35" s="3"/>
      <c r="P35" s="3"/>
    </row>
    <row r="36" spans="1:16" ht="38.1" customHeight="1" x14ac:dyDescent="0.4">
      <c r="A36" s="355" t="s">
        <v>1</v>
      </c>
      <c r="B36" s="272" t="s">
        <v>425</v>
      </c>
      <c r="C36" s="306">
        <f>D36-200</f>
        <v>5320</v>
      </c>
      <c r="D36" s="306">
        <f>100+4920+200+300</f>
        <v>5520</v>
      </c>
      <c r="E36" s="306">
        <f>D36+500</f>
        <v>6020</v>
      </c>
      <c r="F36" s="278">
        <f>E36+400</f>
        <v>6420</v>
      </c>
      <c r="G36" s="279">
        <f>H36-200</f>
        <v>5920</v>
      </c>
      <c r="H36" s="306">
        <f>100+5520+200+300</f>
        <v>6120</v>
      </c>
      <c r="I36" s="306">
        <f>H36+500</f>
        <v>6620</v>
      </c>
      <c r="J36" s="306">
        <f>I36+400</f>
        <v>7020</v>
      </c>
      <c r="K36" s="363" t="s">
        <v>102</v>
      </c>
      <c r="L36" s="364"/>
      <c r="M36" s="364"/>
      <c r="N36" s="365"/>
      <c r="O36" s="3"/>
      <c r="P36" s="3"/>
    </row>
    <row r="37" spans="1:16" ht="38.1" customHeight="1" x14ac:dyDescent="0.4">
      <c r="A37" s="356"/>
      <c r="B37" s="272" t="s">
        <v>424</v>
      </c>
      <c r="C37" s="306">
        <f t="shared" ref="C37:C43" si="12">D37-200</f>
        <v>7940</v>
      </c>
      <c r="D37" s="306">
        <f>100+7540+200+300</f>
        <v>8140</v>
      </c>
      <c r="E37" s="306">
        <f t="shared" ref="E37:E43" si="13">D37+500</f>
        <v>8640</v>
      </c>
      <c r="F37" s="278">
        <f t="shared" ref="F37:F43" si="14">E37+400</f>
        <v>9040</v>
      </c>
      <c r="G37" s="279">
        <f t="shared" ref="G37:G43" si="15">H37-200</f>
        <v>9140</v>
      </c>
      <c r="H37" s="306">
        <f>100+8740+200+300</f>
        <v>9340</v>
      </c>
      <c r="I37" s="306">
        <f t="shared" ref="I37:I43" si="16">H37+500</f>
        <v>9840</v>
      </c>
      <c r="J37" s="306">
        <f t="shared" ref="J37:J43" si="17">I37+400</f>
        <v>10240</v>
      </c>
      <c r="K37" s="366"/>
      <c r="L37" s="367"/>
      <c r="M37" s="367"/>
      <c r="N37" s="368"/>
      <c r="O37" s="3"/>
      <c r="P37" s="3"/>
    </row>
    <row r="38" spans="1:16" ht="38.1" customHeight="1" x14ac:dyDescent="0.4">
      <c r="A38" s="358" t="s">
        <v>6</v>
      </c>
      <c r="B38" s="272" t="s">
        <v>425</v>
      </c>
      <c r="C38" s="306">
        <f t="shared" si="12"/>
        <v>5920</v>
      </c>
      <c r="D38" s="306">
        <f>100+5520+200+300</f>
        <v>6120</v>
      </c>
      <c r="E38" s="306">
        <f t="shared" si="13"/>
        <v>6620</v>
      </c>
      <c r="F38" s="278">
        <f t="shared" si="14"/>
        <v>7020</v>
      </c>
      <c r="G38" s="279">
        <f t="shared" si="15"/>
        <v>6520</v>
      </c>
      <c r="H38" s="306">
        <f>100+6120+200+300</f>
        <v>6720</v>
      </c>
      <c r="I38" s="306">
        <f t="shared" si="16"/>
        <v>7220</v>
      </c>
      <c r="J38" s="306">
        <f t="shared" si="17"/>
        <v>7620</v>
      </c>
      <c r="K38" s="366"/>
      <c r="L38" s="367"/>
      <c r="M38" s="367"/>
      <c r="N38" s="368"/>
      <c r="O38" s="3"/>
      <c r="P38" s="3"/>
    </row>
    <row r="39" spans="1:16" ht="38.1" customHeight="1" x14ac:dyDescent="0.4">
      <c r="A39" s="359"/>
      <c r="B39" s="272" t="s">
        <v>424</v>
      </c>
      <c r="C39" s="306">
        <f t="shared" si="12"/>
        <v>8540</v>
      </c>
      <c r="D39" s="306">
        <f>100+8140+200+300</f>
        <v>8740</v>
      </c>
      <c r="E39" s="306">
        <f t="shared" si="13"/>
        <v>9240</v>
      </c>
      <c r="F39" s="278">
        <f t="shared" si="14"/>
        <v>9640</v>
      </c>
      <c r="G39" s="279">
        <f t="shared" si="15"/>
        <v>9740</v>
      </c>
      <c r="H39" s="306">
        <f>100+9340+200+300</f>
        <v>9940</v>
      </c>
      <c r="I39" s="306">
        <f t="shared" si="16"/>
        <v>10440</v>
      </c>
      <c r="J39" s="306">
        <f t="shared" si="17"/>
        <v>10840</v>
      </c>
      <c r="K39" s="366"/>
      <c r="L39" s="367"/>
      <c r="M39" s="367"/>
      <c r="N39" s="368"/>
      <c r="O39" s="3"/>
      <c r="P39" s="3"/>
    </row>
    <row r="40" spans="1:16" ht="38.1" customHeight="1" x14ac:dyDescent="0.4">
      <c r="A40" s="358" t="s">
        <v>7</v>
      </c>
      <c r="B40" s="272" t="s">
        <v>425</v>
      </c>
      <c r="C40" s="306">
        <f t="shared" si="12"/>
        <v>6520</v>
      </c>
      <c r="D40" s="306">
        <f>100+6120+200+300</f>
        <v>6720</v>
      </c>
      <c r="E40" s="306">
        <f t="shared" si="13"/>
        <v>7220</v>
      </c>
      <c r="F40" s="278">
        <f t="shared" si="14"/>
        <v>7620</v>
      </c>
      <c r="G40" s="279">
        <f t="shared" si="15"/>
        <v>7120</v>
      </c>
      <c r="H40" s="306">
        <f>100+6720+200+300</f>
        <v>7320</v>
      </c>
      <c r="I40" s="306">
        <f t="shared" si="16"/>
        <v>7820</v>
      </c>
      <c r="J40" s="306">
        <f t="shared" si="17"/>
        <v>8220</v>
      </c>
      <c r="K40" s="366"/>
      <c r="L40" s="367"/>
      <c r="M40" s="367"/>
      <c r="N40" s="368"/>
      <c r="O40" s="3"/>
      <c r="P40" s="3"/>
    </row>
    <row r="41" spans="1:16" ht="38.1" customHeight="1" x14ac:dyDescent="0.4">
      <c r="A41" s="359"/>
      <c r="B41" s="272" t="s">
        <v>424</v>
      </c>
      <c r="C41" s="306">
        <f t="shared" si="12"/>
        <v>9140</v>
      </c>
      <c r="D41" s="306">
        <f>100+8740+200+300</f>
        <v>9340</v>
      </c>
      <c r="E41" s="306">
        <f t="shared" si="13"/>
        <v>9840</v>
      </c>
      <c r="F41" s="278">
        <f t="shared" si="14"/>
        <v>10240</v>
      </c>
      <c r="G41" s="279">
        <f t="shared" si="15"/>
        <v>10340</v>
      </c>
      <c r="H41" s="306">
        <f>100+9940+200+300</f>
        <v>10540</v>
      </c>
      <c r="I41" s="306">
        <f t="shared" si="16"/>
        <v>11040</v>
      </c>
      <c r="J41" s="306">
        <f t="shared" si="17"/>
        <v>11440</v>
      </c>
      <c r="K41" s="366"/>
      <c r="L41" s="367"/>
      <c r="M41" s="367"/>
      <c r="N41" s="368"/>
      <c r="O41" s="3"/>
      <c r="P41" s="3"/>
    </row>
    <row r="42" spans="1:16" ht="38.1" customHeight="1" x14ac:dyDescent="0.4">
      <c r="A42" s="358" t="s">
        <v>52</v>
      </c>
      <c r="B42" s="272" t="s">
        <v>425</v>
      </c>
      <c r="C42" s="306">
        <f t="shared" si="12"/>
        <v>6920</v>
      </c>
      <c r="D42" s="306">
        <f>100+6520+200+300</f>
        <v>7120</v>
      </c>
      <c r="E42" s="306">
        <f t="shared" si="13"/>
        <v>7620</v>
      </c>
      <c r="F42" s="278">
        <f t="shared" si="14"/>
        <v>8020</v>
      </c>
      <c r="G42" s="279">
        <f t="shared" si="15"/>
        <v>7520</v>
      </c>
      <c r="H42" s="306">
        <f>100+7120+200+300</f>
        <v>7720</v>
      </c>
      <c r="I42" s="306">
        <f t="shared" si="16"/>
        <v>8220</v>
      </c>
      <c r="J42" s="306">
        <f t="shared" si="17"/>
        <v>8620</v>
      </c>
      <c r="K42" s="366"/>
      <c r="L42" s="367"/>
      <c r="M42" s="367"/>
      <c r="N42" s="368"/>
      <c r="O42" s="3"/>
      <c r="P42" s="3"/>
    </row>
    <row r="43" spans="1:16" ht="38.1" customHeight="1" x14ac:dyDescent="0.4">
      <c r="A43" s="359"/>
      <c r="B43" s="272" t="s">
        <v>424</v>
      </c>
      <c r="C43" s="306">
        <f t="shared" si="12"/>
        <v>9540</v>
      </c>
      <c r="D43" s="306">
        <f>100+9140+200+300</f>
        <v>9740</v>
      </c>
      <c r="E43" s="306">
        <f t="shared" si="13"/>
        <v>10240</v>
      </c>
      <c r="F43" s="278">
        <f t="shared" si="14"/>
        <v>10640</v>
      </c>
      <c r="G43" s="279">
        <f t="shared" si="15"/>
        <v>10740</v>
      </c>
      <c r="H43" s="306">
        <f>100+10340+200+300</f>
        <v>10940</v>
      </c>
      <c r="I43" s="306">
        <f t="shared" si="16"/>
        <v>11440</v>
      </c>
      <c r="J43" s="306">
        <f t="shared" si="17"/>
        <v>11840</v>
      </c>
      <c r="K43" s="369"/>
      <c r="L43" s="370"/>
      <c r="M43" s="370"/>
      <c r="N43" s="371"/>
      <c r="O43" s="3"/>
      <c r="P43" s="3"/>
    </row>
    <row r="44" spans="1:16" ht="38.1" customHeight="1" x14ac:dyDescent="0.4">
      <c r="A44" s="360" t="s">
        <v>504</v>
      </c>
      <c r="B44" s="361"/>
      <c r="C44" s="361"/>
      <c r="D44" s="361"/>
      <c r="E44" s="361"/>
      <c r="F44" s="361"/>
      <c r="G44" s="361"/>
      <c r="H44" s="361"/>
      <c r="I44" s="361"/>
      <c r="J44" s="361"/>
      <c r="K44" s="361"/>
      <c r="L44" s="361"/>
      <c r="M44" s="361"/>
      <c r="N44" s="362"/>
      <c r="O44" s="3"/>
      <c r="P44" s="3"/>
    </row>
    <row r="45" spans="1:16" ht="38.1" customHeight="1" x14ac:dyDescent="0.4">
      <c r="A45" s="312" t="s">
        <v>374</v>
      </c>
      <c r="B45" s="311" t="s">
        <v>424</v>
      </c>
      <c r="C45" s="312">
        <f>D45-200</f>
        <v>10340</v>
      </c>
      <c r="D45" s="312">
        <f>100+9940+200+300</f>
        <v>10540</v>
      </c>
      <c r="E45" s="312">
        <f>200+10540+300</f>
        <v>11040</v>
      </c>
      <c r="F45" s="312">
        <f>200+10940+300</f>
        <v>11440</v>
      </c>
      <c r="G45" s="312">
        <f>200+11040+300</f>
        <v>11540</v>
      </c>
      <c r="H45" s="312">
        <f>200+11240+300</f>
        <v>11740</v>
      </c>
      <c r="I45" s="312">
        <f>200+11740+300</f>
        <v>12240</v>
      </c>
      <c r="J45" s="312">
        <f>200+12140+300</f>
        <v>12640</v>
      </c>
      <c r="K45" s="372"/>
      <c r="L45" s="372"/>
      <c r="M45" s="372"/>
      <c r="N45" s="372"/>
      <c r="O45" s="3"/>
      <c r="P45" s="3"/>
    </row>
    <row r="46" spans="1:16" ht="38.1" customHeight="1" x14ac:dyDescent="0.4">
      <c r="A46" s="312" t="s">
        <v>543</v>
      </c>
      <c r="B46" s="311" t="s">
        <v>425</v>
      </c>
      <c r="C46" s="311">
        <f t="shared" ref="C46" si="18">D46-200</f>
        <v>6920</v>
      </c>
      <c r="D46" s="311">
        <f>100+6520+200+300</f>
        <v>7120</v>
      </c>
      <c r="E46" s="311">
        <f t="shared" ref="E46" si="19">D46+500</f>
        <v>7620</v>
      </c>
      <c r="F46" s="278">
        <f t="shared" ref="F46" si="20">E46+400</f>
        <v>8020</v>
      </c>
      <c r="G46" s="279">
        <f t="shared" ref="G46" si="21">H46-200</f>
        <v>7520</v>
      </c>
      <c r="H46" s="311">
        <f>100+7120+200+300</f>
        <v>7720</v>
      </c>
      <c r="I46" s="311">
        <f t="shared" ref="I46" si="22">H46+500</f>
        <v>8220</v>
      </c>
      <c r="J46" s="311">
        <f t="shared" ref="J46" si="23">I46+400</f>
        <v>8620</v>
      </c>
      <c r="K46" s="372"/>
      <c r="L46" s="372"/>
      <c r="M46" s="372"/>
      <c r="N46" s="372"/>
      <c r="O46" s="3"/>
      <c r="P46" s="3"/>
    </row>
    <row r="47" spans="1:16" ht="38.1" customHeight="1" x14ac:dyDescent="0.4">
      <c r="A47" s="360" t="s">
        <v>423</v>
      </c>
      <c r="B47" s="361"/>
      <c r="C47" s="361"/>
      <c r="D47" s="361"/>
      <c r="E47" s="361"/>
      <c r="F47" s="361"/>
      <c r="G47" s="361"/>
      <c r="H47" s="361"/>
      <c r="I47" s="361"/>
      <c r="J47" s="361"/>
      <c r="K47" s="361"/>
      <c r="L47" s="361"/>
      <c r="M47" s="361"/>
      <c r="N47" s="362"/>
      <c r="O47" s="3"/>
      <c r="P47" s="3"/>
    </row>
    <row r="48" spans="1:16" ht="38.1" customHeight="1" x14ac:dyDescent="0.4">
      <c r="A48" s="272" t="s">
        <v>1</v>
      </c>
      <c r="B48" s="281"/>
      <c r="C48" s="306">
        <f>D48-200</f>
        <v>5690</v>
      </c>
      <c r="D48" s="306">
        <f>100+5290+200+300</f>
        <v>5890</v>
      </c>
      <c r="E48" s="306">
        <f>200+5890+300</f>
        <v>6390</v>
      </c>
      <c r="F48" s="276">
        <f>200+6290+300</f>
        <v>6790</v>
      </c>
      <c r="G48" s="277">
        <f>200+5790+300</f>
        <v>6290</v>
      </c>
      <c r="H48" s="306">
        <f>200+5990+300</f>
        <v>6490</v>
      </c>
      <c r="I48" s="306">
        <f>200+6490+300</f>
        <v>6990</v>
      </c>
      <c r="J48" s="306">
        <f>200+6890+300</f>
        <v>7390</v>
      </c>
      <c r="K48" s="357"/>
      <c r="L48" s="357"/>
      <c r="M48" s="357"/>
      <c r="N48" s="357"/>
      <c r="O48" s="3"/>
      <c r="P48" s="3"/>
    </row>
    <row r="49" spans="1:16" ht="38.1" customHeight="1" x14ac:dyDescent="0.4">
      <c r="A49" s="360" t="s">
        <v>310</v>
      </c>
      <c r="B49" s="361"/>
      <c r="C49" s="361"/>
      <c r="D49" s="361"/>
      <c r="E49" s="361"/>
      <c r="F49" s="361"/>
      <c r="G49" s="361"/>
      <c r="H49" s="361"/>
      <c r="I49" s="361"/>
      <c r="J49" s="361"/>
      <c r="K49" s="361"/>
      <c r="L49" s="361"/>
      <c r="M49" s="361"/>
      <c r="N49" s="362"/>
      <c r="O49" s="3"/>
      <c r="P49" s="3"/>
    </row>
    <row r="50" spans="1:16" ht="38.1" customHeight="1" x14ac:dyDescent="0.4">
      <c r="A50" s="272" t="s">
        <v>1</v>
      </c>
      <c r="B50" s="272"/>
      <c r="C50" s="306">
        <f>D50-200</f>
        <v>7190</v>
      </c>
      <c r="D50" s="306">
        <f>100+6790+200+300</f>
        <v>7390</v>
      </c>
      <c r="E50" s="306">
        <f>200+7390+300</f>
        <v>7890</v>
      </c>
      <c r="F50" s="276">
        <f>200+7790+300</f>
        <v>8290</v>
      </c>
      <c r="G50" s="277">
        <f>200+7290+300</f>
        <v>7790</v>
      </c>
      <c r="H50" s="306">
        <f>200+7490+300</f>
        <v>7990</v>
      </c>
      <c r="I50" s="306">
        <f>200+7990+300</f>
        <v>8490</v>
      </c>
      <c r="J50" s="306">
        <f>200+8390+300</f>
        <v>8890</v>
      </c>
      <c r="K50" s="376"/>
      <c r="L50" s="376"/>
      <c r="M50" s="376"/>
      <c r="N50" s="376"/>
      <c r="O50" s="3"/>
      <c r="P50" s="3"/>
    </row>
    <row r="51" spans="1:16" ht="38.1" customHeight="1" x14ac:dyDescent="0.4">
      <c r="A51" s="360" t="s">
        <v>295</v>
      </c>
      <c r="B51" s="361"/>
      <c r="C51" s="361"/>
      <c r="D51" s="361"/>
      <c r="E51" s="361"/>
      <c r="F51" s="361"/>
      <c r="G51" s="361"/>
      <c r="H51" s="361"/>
      <c r="I51" s="361"/>
      <c r="J51" s="361"/>
      <c r="K51" s="361"/>
      <c r="L51" s="361"/>
      <c r="M51" s="361"/>
      <c r="N51" s="362"/>
      <c r="O51" s="3"/>
      <c r="P51" s="3"/>
    </row>
    <row r="52" spans="1:16" ht="38.1" customHeight="1" x14ac:dyDescent="0.4">
      <c r="A52" s="306" t="s">
        <v>1</v>
      </c>
      <c r="B52" s="306"/>
      <c r="C52" s="306">
        <f>200+5490+300</f>
        <v>5990</v>
      </c>
      <c r="D52" s="306">
        <f>200+5690+300</f>
        <v>6190</v>
      </c>
      <c r="E52" s="306">
        <f>200+6190+300</f>
        <v>6690</v>
      </c>
      <c r="F52" s="276">
        <f>6790+300</f>
        <v>7090</v>
      </c>
      <c r="G52" s="277">
        <f>200+6090+300</f>
        <v>6590</v>
      </c>
      <c r="H52" s="306">
        <f>200+6290+300</f>
        <v>6790</v>
      </c>
      <c r="I52" s="306">
        <f>200+6790+300</f>
        <v>7290</v>
      </c>
      <c r="J52" s="306">
        <f>7390+300</f>
        <v>7690</v>
      </c>
      <c r="K52" s="357" t="s">
        <v>2</v>
      </c>
      <c r="L52" s="357"/>
      <c r="M52" s="357"/>
      <c r="N52" s="357"/>
      <c r="O52" s="3"/>
      <c r="P52" s="3"/>
    </row>
    <row r="53" spans="1:16" ht="38.1" customHeight="1" x14ac:dyDescent="0.4">
      <c r="A53" s="360" t="s">
        <v>296</v>
      </c>
      <c r="B53" s="361"/>
      <c r="C53" s="361"/>
      <c r="D53" s="361"/>
      <c r="E53" s="361"/>
      <c r="F53" s="361"/>
      <c r="G53" s="361"/>
      <c r="H53" s="361"/>
      <c r="I53" s="361"/>
      <c r="J53" s="361"/>
      <c r="K53" s="361"/>
      <c r="L53" s="361"/>
      <c r="M53" s="361"/>
      <c r="N53" s="362"/>
      <c r="O53" s="3"/>
      <c r="P53" s="3"/>
    </row>
    <row r="54" spans="1:16" ht="38.1" customHeight="1" x14ac:dyDescent="0.4">
      <c r="A54" s="272" t="s">
        <v>1</v>
      </c>
      <c r="B54" s="272"/>
      <c r="C54" s="306">
        <f>200+7290+300</f>
        <v>7790</v>
      </c>
      <c r="D54" s="306">
        <f>200+7490+300</f>
        <v>7990</v>
      </c>
      <c r="E54" s="306">
        <f>200+7990+300</f>
        <v>8490</v>
      </c>
      <c r="F54" s="276">
        <f>200+8390+300</f>
        <v>8890</v>
      </c>
      <c r="G54" s="277">
        <f>200+7890+300</f>
        <v>8390</v>
      </c>
      <c r="H54" s="306">
        <f>200+8090+300</f>
        <v>8590</v>
      </c>
      <c r="I54" s="306">
        <f>200+8590+300</f>
        <v>9090</v>
      </c>
      <c r="J54" s="306">
        <f>200+8990+300</f>
        <v>9490</v>
      </c>
      <c r="K54" s="357" t="s">
        <v>2</v>
      </c>
      <c r="L54" s="357"/>
      <c r="M54" s="357"/>
      <c r="N54" s="357"/>
      <c r="O54" s="3"/>
      <c r="P54" s="3"/>
    </row>
    <row r="55" spans="1:16" ht="50.1" customHeight="1" x14ac:dyDescent="0.4">
      <c r="A55" s="364"/>
      <c r="B55" s="364"/>
      <c r="C55" s="364"/>
      <c r="D55" s="364"/>
      <c r="E55" s="364"/>
      <c r="F55" s="364"/>
      <c r="G55" s="364"/>
      <c r="H55" s="364"/>
      <c r="I55" s="364"/>
      <c r="J55" s="364"/>
      <c r="K55" s="364"/>
      <c r="L55" s="364"/>
      <c r="M55" s="134"/>
      <c r="N55" s="134"/>
      <c r="O55" s="3"/>
      <c r="P55" s="3"/>
    </row>
    <row r="56" spans="1:16" ht="68.25" customHeight="1" x14ac:dyDescent="0.4">
      <c r="A56" s="394" t="s">
        <v>328</v>
      </c>
      <c r="B56" s="394"/>
      <c r="C56" s="394"/>
      <c r="D56" s="394"/>
      <c r="E56" s="394"/>
      <c r="F56" s="394"/>
      <c r="G56" s="394"/>
      <c r="H56" s="394"/>
      <c r="I56" s="394"/>
      <c r="J56" s="394"/>
      <c r="K56" s="394"/>
      <c r="L56" s="394"/>
      <c r="M56" s="394"/>
      <c r="N56" s="394"/>
      <c r="O56" s="3"/>
      <c r="P56" s="3"/>
    </row>
    <row r="57" spans="1:16" ht="69" customHeight="1" x14ac:dyDescent="0.45">
      <c r="A57" s="319" t="s">
        <v>329</v>
      </c>
      <c r="B57" s="319"/>
      <c r="C57" s="319"/>
      <c r="D57" s="319"/>
      <c r="E57" s="319"/>
      <c r="F57" s="319"/>
      <c r="G57" s="319"/>
      <c r="H57" s="319"/>
      <c r="I57" s="319"/>
      <c r="J57" s="319"/>
      <c r="K57" s="319"/>
      <c r="L57" s="319"/>
      <c r="M57" s="319"/>
      <c r="N57" s="319"/>
      <c r="O57" s="3"/>
      <c r="P57" s="3"/>
    </row>
    <row r="58" spans="1:16" ht="57.75" customHeight="1" x14ac:dyDescent="0.4">
      <c r="A58" s="335" t="s">
        <v>330</v>
      </c>
      <c r="B58" s="335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335"/>
      <c r="O58" s="3"/>
      <c r="P58" s="3"/>
    </row>
    <row r="59" spans="1:16" ht="100.5" customHeight="1" x14ac:dyDescent="0.45">
      <c r="A59" s="392" t="s">
        <v>544</v>
      </c>
      <c r="B59" s="392"/>
      <c r="C59" s="392"/>
      <c r="D59" s="392"/>
      <c r="E59" s="392"/>
      <c r="F59" s="392"/>
      <c r="G59" s="392"/>
      <c r="H59" s="392"/>
      <c r="I59" s="392"/>
      <c r="J59" s="392"/>
      <c r="K59" s="392"/>
      <c r="L59" s="392"/>
      <c r="M59" s="392"/>
      <c r="N59" s="392"/>
      <c r="O59" s="3"/>
      <c r="P59" s="3"/>
    </row>
    <row r="60" spans="1:16" ht="53.25" customHeight="1" x14ac:dyDescent="0.4">
      <c r="A60" s="335" t="s">
        <v>331</v>
      </c>
      <c r="B60" s="335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"/>
      <c r="P60" s="3"/>
    </row>
    <row r="61" spans="1:16" ht="48.75" customHeight="1" x14ac:dyDescent="0.4">
      <c r="A61" s="393" t="s">
        <v>545</v>
      </c>
      <c r="B61" s="393"/>
      <c r="C61" s="393"/>
      <c r="D61" s="393"/>
      <c r="E61" s="393"/>
      <c r="F61" s="393"/>
      <c r="G61" s="393"/>
      <c r="H61" s="393"/>
      <c r="I61" s="393"/>
      <c r="J61" s="393"/>
      <c r="K61" s="393"/>
      <c r="L61" s="393"/>
      <c r="M61" s="393"/>
      <c r="N61" s="393"/>
      <c r="O61" s="3"/>
      <c r="P61" s="3"/>
    </row>
    <row r="62" spans="1:16" ht="77.25" customHeight="1" x14ac:dyDescent="0.4">
      <c r="A62" s="389" t="s">
        <v>8</v>
      </c>
      <c r="B62" s="389"/>
      <c r="C62" s="389"/>
      <c r="D62" s="389"/>
      <c r="E62" s="389"/>
      <c r="F62" s="389"/>
      <c r="G62" s="389"/>
      <c r="H62" s="389"/>
      <c r="I62" s="389"/>
      <c r="J62" s="389"/>
      <c r="K62" s="389"/>
      <c r="L62" s="389"/>
      <c r="M62" s="389"/>
      <c r="N62" s="389"/>
      <c r="O62" s="3"/>
      <c r="P62" s="3"/>
    </row>
    <row r="63" spans="1:16" ht="81" customHeight="1" x14ac:dyDescent="0.4">
      <c r="A63" s="390" t="s">
        <v>311</v>
      </c>
      <c r="B63" s="390"/>
      <c r="C63" s="390"/>
      <c r="D63" s="390"/>
      <c r="E63" s="390"/>
      <c r="F63" s="390"/>
      <c r="G63" s="390"/>
      <c r="H63" s="390"/>
      <c r="I63" s="390"/>
      <c r="J63" s="390"/>
      <c r="K63" s="390"/>
      <c r="L63" s="390"/>
      <c r="M63" s="390"/>
      <c r="N63" s="390"/>
      <c r="O63" s="3"/>
      <c r="P63" s="3"/>
    </row>
    <row r="64" spans="1:16" ht="27.75" hidden="1" customHeight="1" x14ac:dyDescent="0.4">
      <c r="A64" s="391" t="s">
        <v>103</v>
      </c>
      <c r="B64" s="391"/>
      <c r="C64" s="391"/>
      <c r="D64" s="391"/>
      <c r="E64" s="391"/>
      <c r="F64" s="391"/>
      <c r="G64" s="391"/>
      <c r="H64" s="391"/>
      <c r="I64" s="391"/>
      <c r="J64" s="391"/>
      <c r="K64" s="391"/>
      <c r="L64" s="391"/>
      <c r="M64" s="391"/>
      <c r="N64" s="391"/>
      <c r="O64" s="3"/>
    </row>
    <row r="65" spans="1:14" ht="28.5" customHeight="1" x14ac:dyDescent="0.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1"/>
      <c r="N65" s="1"/>
    </row>
    <row r="66" spans="1:14" ht="15" customHeight="1" x14ac:dyDescent="0.4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8"/>
      <c r="N66" s="8"/>
    </row>
    <row r="67" spans="1:14" ht="41.25" customHeight="1" x14ac:dyDescent="0.25"/>
    <row r="75" spans="1:14" ht="56.25" customHeight="1" x14ac:dyDescent="0.25"/>
    <row r="76" spans="1:14" ht="26.25" customHeight="1" x14ac:dyDescent="0.25"/>
    <row r="77" spans="1:14" ht="73.5" customHeight="1" x14ac:dyDescent="0.25"/>
    <row r="78" spans="1:14" ht="85.5" customHeight="1" x14ac:dyDescent="0.25"/>
    <row r="79" spans="1:14" ht="56.25" customHeight="1" x14ac:dyDescent="0.25"/>
    <row r="81" ht="74.25" customHeight="1" x14ac:dyDescent="0.25"/>
  </sheetData>
  <mergeCells count="56">
    <mergeCell ref="K46:N46"/>
    <mergeCell ref="A62:N62"/>
    <mergeCell ref="A63:N63"/>
    <mergeCell ref="A64:N64"/>
    <mergeCell ref="A57:N57"/>
    <mergeCell ref="A58:N58"/>
    <mergeCell ref="A59:N59"/>
    <mergeCell ref="A60:N60"/>
    <mergeCell ref="A61:N61"/>
    <mergeCell ref="A55:L55"/>
    <mergeCell ref="A56:N56"/>
    <mergeCell ref="K52:N52"/>
    <mergeCell ref="A53:N53"/>
    <mergeCell ref="K54:N54"/>
    <mergeCell ref="A47:N47"/>
    <mergeCell ref="K48:N48"/>
    <mergeCell ref="A49:N49"/>
    <mergeCell ref="K50:N50"/>
    <mergeCell ref="A51:N51"/>
    <mergeCell ref="A11:A12"/>
    <mergeCell ref="B11:B12"/>
    <mergeCell ref="C11:F11"/>
    <mergeCell ref="G11:J11"/>
    <mergeCell ref="K11:N12"/>
    <mergeCell ref="A13:N13"/>
    <mergeCell ref="K14:N14"/>
    <mergeCell ref="A15:N15"/>
    <mergeCell ref="A44:N44"/>
    <mergeCell ref="K45:N45"/>
    <mergeCell ref="K16:N16"/>
    <mergeCell ref="A17:N17"/>
    <mergeCell ref="A18:A19"/>
    <mergeCell ref="A20:A21"/>
    <mergeCell ref="A22:A23"/>
    <mergeCell ref="A24:A25"/>
    <mergeCell ref="A1:J1"/>
    <mergeCell ref="A2:J2"/>
    <mergeCell ref="A3:J3"/>
    <mergeCell ref="A6:N7"/>
    <mergeCell ref="A8:N8"/>
    <mergeCell ref="A9:O9"/>
    <mergeCell ref="A10:N10"/>
    <mergeCell ref="K4:N4"/>
    <mergeCell ref="K18:N25"/>
    <mergeCell ref="A35:N35"/>
    <mergeCell ref="A36:A37"/>
    <mergeCell ref="K36:N43"/>
    <mergeCell ref="A38:A39"/>
    <mergeCell ref="A40:A41"/>
    <mergeCell ref="A42:A43"/>
    <mergeCell ref="A26:N26"/>
    <mergeCell ref="A27:A28"/>
    <mergeCell ref="K27:N34"/>
    <mergeCell ref="A29:A30"/>
    <mergeCell ref="A31:A32"/>
    <mergeCell ref="A33:A34"/>
  </mergeCells>
  <hyperlinks>
    <hyperlink ref="A3:J3" r:id="rId1" display="e-mail: at-mebel.fasad@mail.ru"/>
    <hyperlink ref="A3" r:id="rId2" display="at-mebel.fasad@mail.ru"/>
    <hyperlink ref="G3:J3" r:id="rId3" display="e-mail: at-mebel.fasad@mail.ru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2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55"/>
  <sheetViews>
    <sheetView zoomScale="40" zoomScaleNormal="40" workbookViewId="0">
      <selection activeCell="A35" sqref="A35:K35"/>
    </sheetView>
  </sheetViews>
  <sheetFormatPr defaultRowHeight="15" x14ac:dyDescent="0.25"/>
  <cols>
    <col min="1" max="1" width="32" customWidth="1"/>
    <col min="2" max="2" width="31.28515625" customWidth="1"/>
    <col min="3" max="3" width="27.85546875" customWidth="1"/>
    <col min="4" max="4" width="38.28515625" customWidth="1"/>
    <col min="5" max="5" width="28.140625" customWidth="1"/>
    <col min="6" max="6" width="30.28515625" customWidth="1"/>
    <col min="7" max="7" width="27.7109375" customWidth="1"/>
    <col min="8" max="8" width="26" customWidth="1"/>
    <col min="9" max="9" width="28.140625" customWidth="1"/>
    <col min="10" max="10" width="26.7109375" customWidth="1"/>
    <col min="11" max="11" width="43.140625" customWidth="1"/>
  </cols>
  <sheetData>
    <row r="1" spans="1:11" ht="37.5" customHeight="1" x14ac:dyDescent="0.4">
      <c r="A1" s="329" t="s">
        <v>441</v>
      </c>
      <c r="B1" s="329"/>
      <c r="C1" s="329"/>
      <c r="D1" s="329"/>
      <c r="E1" s="329"/>
      <c r="F1" s="3"/>
      <c r="G1" s="3"/>
      <c r="H1" s="3"/>
      <c r="I1" s="3"/>
      <c r="J1" s="3"/>
      <c r="K1" s="3"/>
    </row>
    <row r="2" spans="1:11" ht="37.5" customHeight="1" x14ac:dyDescent="0.4">
      <c r="A2" s="329" t="s">
        <v>306</v>
      </c>
      <c r="B2" s="329"/>
      <c r="C2" s="329"/>
      <c r="D2" s="329"/>
      <c r="E2" s="51"/>
      <c r="F2" s="3"/>
      <c r="G2" s="3"/>
      <c r="H2" s="3"/>
      <c r="I2" s="3"/>
      <c r="J2" s="3"/>
      <c r="K2" s="3"/>
    </row>
    <row r="3" spans="1:11" ht="37.5" customHeight="1" x14ac:dyDescent="0.4">
      <c r="A3" s="330" t="s">
        <v>9</v>
      </c>
      <c r="B3" s="330"/>
      <c r="C3" s="330"/>
      <c r="D3" s="330"/>
      <c r="E3" s="330"/>
      <c r="F3" s="3"/>
      <c r="G3" s="3"/>
      <c r="H3" s="3"/>
      <c r="I3" s="3"/>
      <c r="J3" s="3"/>
      <c r="K3" s="3"/>
    </row>
    <row r="4" spans="1:11" ht="37.5" customHeight="1" x14ac:dyDescent="0.4">
      <c r="A4" s="3"/>
      <c r="B4" s="3"/>
      <c r="C4" s="3"/>
      <c r="D4" s="3"/>
      <c r="E4" s="3"/>
      <c r="F4" s="3"/>
      <c r="G4" s="3"/>
      <c r="H4" s="3"/>
      <c r="I4" s="3"/>
      <c r="J4" s="299" t="str">
        <f>Эмаль!K4</f>
        <v>По состоянию на 28.04.2021</v>
      </c>
      <c r="K4" s="299"/>
    </row>
    <row r="5" spans="1:11" ht="37.5" customHeight="1" x14ac:dyDescent="0.4">
      <c r="A5" s="3"/>
      <c r="B5" s="3"/>
      <c r="C5" s="3"/>
      <c r="D5" s="3"/>
      <c r="E5" s="3"/>
      <c r="F5" s="3"/>
      <c r="G5" s="3"/>
      <c r="H5" s="3"/>
      <c r="I5" s="3"/>
      <c r="J5" s="299"/>
      <c r="K5" s="299"/>
    </row>
    <row r="6" spans="1:11" x14ac:dyDescent="0.25">
      <c r="A6" s="424" t="s">
        <v>332</v>
      </c>
      <c r="B6" s="424"/>
      <c r="C6" s="424"/>
      <c r="D6" s="424"/>
      <c r="E6" s="424"/>
      <c r="F6" s="424"/>
      <c r="G6" s="424"/>
      <c r="H6" s="424"/>
      <c r="I6" s="424"/>
      <c r="J6" s="424"/>
      <c r="K6" s="424"/>
    </row>
    <row r="7" spans="1:11" x14ac:dyDescent="0.25">
      <c r="A7" s="424"/>
      <c r="B7" s="424"/>
      <c r="C7" s="424"/>
      <c r="D7" s="424"/>
      <c r="E7" s="424"/>
      <c r="F7" s="424"/>
      <c r="G7" s="424"/>
      <c r="H7" s="424"/>
      <c r="I7" s="424"/>
      <c r="J7" s="424"/>
      <c r="K7" s="424"/>
    </row>
    <row r="8" spans="1:11" ht="33" x14ac:dyDescent="0.45">
      <c r="A8" s="423" t="s">
        <v>443</v>
      </c>
      <c r="B8" s="423"/>
      <c r="C8" s="423"/>
      <c r="D8" s="423"/>
      <c r="E8" s="423"/>
      <c r="F8" s="423"/>
      <c r="G8" s="423"/>
      <c r="H8" s="423"/>
      <c r="I8" s="423"/>
      <c r="J8" s="423"/>
      <c r="K8" s="423"/>
    </row>
    <row r="9" spans="1:11" ht="33" x14ac:dyDescent="0.45">
      <c r="A9" s="396" t="s">
        <v>369</v>
      </c>
      <c r="B9" s="396"/>
      <c r="C9" s="396"/>
      <c r="D9" s="396"/>
      <c r="E9" s="396"/>
      <c r="F9" s="396"/>
      <c r="G9" s="396"/>
      <c r="H9" s="396"/>
      <c r="I9" s="396"/>
      <c r="J9" s="396"/>
      <c r="K9" s="396"/>
    </row>
    <row r="10" spans="1:11" ht="25.5" x14ac:dyDescent="0.35">
      <c r="A10" s="421" t="s">
        <v>500</v>
      </c>
      <c r="B10" s="421"/>
      <c r="C10" s="421"/>
      <c r="D10" s="421"/>
      <c r="E10" s="421"/>
      <c r="F10" s="421"/>
      <c r="G10" s="421"/>
      <c r="H10" s="421"/>
      <c r="I10" s="421"/>
      <c r="J10" s="421"/>
      <c r="K10" s="421"/>
    </row>
    <row r="11" spans="1:11" x14ac:dyDescent="0.25">
      <c r="A11" s="406" t="s">
        <v>18</v>
      </c>
      <c r="B11" s="406" t="s">
        <v>14</v>
      </c>
      <c r="C11" s="406"/>
      <c r="D11" s="406" t="s">
        <v>15</v>
      </c>
      <c r="E11" s="406" t="s">
        <v>78</v>
      </c>
      <c r="F11" s="406" t="s">
        <v>79</v>
      </c>
      <c r="G11" s="406" t="s">
        <v>80</v>
      </c>
      <c r="H11" s="406" t="s">
        <v>81</v>
      </c>
      <c r="I11" s="406" t="s">
        <v>82</v>
      </c>
      <c r="J11" s="406" t="s">
        <v>83</v>
      </c>
      <c r="K11" s="406" t="s">
        <v>84</v>
      </c>
    </row>
    <row r="12" spans="1:11" ht="61.5" customHeight="1" x14ac:dyDescent="0.25">
      <c r="A12" s="422"/>
      <c r="B12" s="406"/>
      <c r="C12" s="406"/>
      <c r="D12" s="406"/>
      <c r="E12" s="406"/>
      <c r="F12" s="406"/>
      <c r="G12" s="406"/>
      <c r="H12" s="406"/>
      <c r="I12" s="406"/>
      <c r="J12" s="406"/>
      <c r="K12" s="406"/>
    </row>
    <row r="13" spans="1:11" ht="81" customHeight="1" x14ac:dyDescent="0.25">
      <c r="A13" s="416" t="s">
        <v>428</v>
      </c>
      <c r="B13" s="418" t="s">
        <v>16</v>
      </c>
      <c r="C13" s="418"/>
      <c r="D13" s="216" t="s">
        <v>456</v>
      </c>
      <c r="E13" s="309">
        <f>1000+5200</f>
        <v>6200</v>
      </c>
      <c r="F13" s="309">
        <f>1000+5550</f>
        <v>6550</v>
      </c>
      <c r="G13" s="309">
        <f>1000+6000</f>
        <v>7000</v>
      </c>
      <c r="H13" s="309">
        <f>1000+6400</f>
        <v>7400</v>
      </c>
      <c r="I13" s="309">
        <f>1000+6930</f>
        <v>7930</v>
      </c>
      <c r="J13" s="309">
        <f>1000+7150</f>
        <v>8150</v>
      </c>
      <c r="K13" s="309">
        <f>1000+7850</f>
        <v>8850</v>
      </c>
    </row>
    <row r="14" spans="1:11" ht="81" customHeight="1" thickBot="1" x14ac:dyDescent="0.3">
      <c r="A14" s="417"/>
      <c r="B14" s="419"/>
      <c r="C14" s="419"/>
      <c r="D14" s="220" t="s">
        <v>457</v>
      </c>
      <c r="E14" s="224">
        <f>E13+300</f>
        <v>6500</v>
      </c>
      <c r="F14" s="224">
        <f t="shared" ref="F14:K14" si="0">F13+300</f>
        <v>6850</v>
      </c>
      <c r="G14" s="224">
        <f t="shared" si="0"/>
        <v>7300</v>
      </c>
      <c r="H14" s="224">
        <f t="shared" si="0"/>
        <v>7700</v>
      </c>
      <c r="I14" s="224">
        <f t="shared" si="0"/>
        <v>8230</v>
      </c>
      <c r="J14" s="224">
        <f t="shared" si="0"/>
        <v>8450</v>
      </c>
      <c r="K14" s="224">
        <f t="shared" si="0"/>
        <v>9150</v>
      </c>
    </row>
    <row r="15" spans="1:11" ht="81" customHeight="1" x14ac:dyDescent="0.25">
      <c r="A15" s="420" t="s">
        <v>427</v>
      </c>
      <c r="B15" s="420" t="s">
        <v>16</v>
      </c>
      <c r="C15" s="420"/>
      <c r="D15" s="221" t="s">
        <v>458</v>
      </c>
      <c r="E15" s="222">
        <f>1000+5200</f>
        <v>6200</v>
      </c>
      <c r="F15" s="222">
        <f>1000+5550</f>
        <v>6550</v>
      </c>
      <c r="G15" s="222">
        <f>1000+6000</f>
        <v>7000</v>
      </c>
      <c r="H15" s="222">
        <f>1000+6400</f>
        <v>7400</v>
      </c>
      <c r="I15" s="222">
        <f>1000+6930</f>
        <v>7930</v>
      </c>
      <c r="J15" s="222">
        <f>1000+7150</f>
        <v>8150</v>
      </c>
      <c r="K15" s="222">
        <f>1000+7850</f>
        <v>8850</v>
      </c>
    </row>
    <row r="16" spans="1:11" ht="81" customHeight="1" thickBot="1" x14ac:dyDescent="0.3">
      <c r="A16" s="419"/>
      <c r="B16" s="419"/>
      <c r="C16" s="419"/>
      <c r="D16" s="220" t="s">
        <v>459</v>
      </c>
      <c r="E16" s="224">
        <f>E15+300</f>
        <v>6500</v>
      </c>
      <c r="F16" s="224">
        <f t="shared" ref="F16:K16" si="1">F15+300</f>
        <v>6850</v>
      </c>
      <c r="G16" s="224">
        <f t="shared" si="1"/>
        <v>7300</v>
      </c>
      <c r="H16" s="224">
        <f t="shared" si="1"/>
        <v>7700</v>
      </c>
      <c r="I16" s="224">
        <f t="shared" si="1"/>
        <v>8230</v>
      </c>
      <c r="J16" s="224">
        <f t="shared" si="1"/>
        <v>8450</v>
      </c>
      <c r="K16" s="224">
        <f t="shared" si="1"/>
        <v>9150</v>
      </c>
    </row>
    <row r="17" spans="1:11" ht="81" customHeight="1" x14ac:dyDescent="0.25">
      <c r="A17" s="412" t="s">
        <v>414</v>
      </c>
      <c r="B17" s="412" t="s">
        <v>16</v>
      </c>
      <c r="C17" s="412"/>
      <c r="D17" s="221" t="s">
        <v>458</v>
      </c>
      <c r="E17" s="222">
        <f>1000+5700</f>
        <v>6700</v>
      </c>
      <c r="F17" s="222">
        <f>1000+6050</f>
        <v>7050</v>
      </c>
      <c r="G17" s="222">
        <f>1000+6500</f>
        <v>7500</v>
      </c>
      <c r="H17" s="222">
        <f>1000+6900</f>
        <v>7900</v>
      </c>
      <c r="I17" s="222">
        <f>1000+7430</f>
        <v>8430</v>
      </c>
      <c r="J17" s="222">
        <f>1000+7650</f>
        <v>8650</v>
      </c>
      <c r="K17" s="222">
        <f>1000+8350</f>
        <v>9350</v>
      </c>
    </row>
    <row r="18" spans="1:11" ht="81" customHeight="1" thickBot="1" x14ac:dyDescent="0.3">
      <c r="A18" s="413"/>
      <c r="B18" s="413"/>
      <c r="C18" s="413"/>
      <c r="D18" s="223" t="s">
        <v>460</v>
      </c>
      <c r="E18" s="224">
        <f>E17+300</f>
        <v>7000</v>
      </c>
      <c r="F18" s="224">
        <f t="shared" ref="F18:K18" si="2">F17+300</f>
        <v>7350</v>
      </c>
      <c r="G18" s="224">
        <f t="shared" si="2"/>
        <v>7800</v>
      </c>
      <c r="H18" s="224">
        <f t="shared" si="2"/>
        <v>8200</v>
      </c>
      <c r="I18" s="224">
        <f t="shared" si="2"/>
        <v>8730</v>
      </c>
      <c r="J18" s="224">
        <f t="shared" si="2"/>
        <v>8950</v>
      </c>
      <c r="K18" s="224">
        <f t="shared" si="2"/>
        <v>9650</v>
      </c>
    </row>
    <row r="19" spans="1:11" ht="81" customHeight="1" x14ac:dyDescent="0.25">
      <c r="A19" s="412" t="s">
        <v>45</v>
      </c>
      <c r="B19" s="414" t="s">
        <v>39</v>
      </c>
      <c r="C19" s="414" t="s">
        <v>410</v>
      </c>
      <c r="D19" s="225" t="s">
        <v>461</v>
      </c>
      <c r="E19" s="226">
        <f>1000+6100</f>
        <v>7100</v>
      </c>
      <c r="F19" s="226">
        <f>1000+6450</f>
        <v>7450</v>
      </c>
      <c r="G19" s="226">
        <f>1000+6900</f>
        <v>7900</v>
      </c>
      <c r="H19" s="226">
        <f>1000+7300</f>
        <v>8300</v>
      </c>
      <c r="I19" s="226">
        <f>1000+7830</f>
        <v>8830</v>
      </c>
      <c r="J19" s="226">
        <f>1000+8050</f>
        <v>9050</v>
      </c>
      <c r="K19" s="226">
        <f>1000+8750</f>
        <v>9750</v>
      </c>
    </row>
    <row r="20" spans="1:11" ht="81" customHeight="1" thickBot="1" x14ac:dyDescent="0.3">
      <c r="A20" s="406"/>
      <c r="B20" s="415"/>
      <c r="C20" s="415"/>
      <c r="D20" s="223" t="s">
        <v>460</v>
      </c>
      <c r="E20" s="227">
        <f>E19+300</f>
        <v>7400</v>
      </c>
      <c r="F20" s="227">
        <f t="shared" ref="F20:K20" si="3">F19+300</f>
        <v>7750</v>
      </c>
      <c r="G20" s="227">
        <f t="shared" si="3"/>
        <v>8200</v>
      </c>
      <c r="H20" s="227">
        <f t="shared" si="3"/>
        <v>8600</v>
      </c>
      <c r="I20" s="227">
        <f t="shared" si="3"/>
        <v>9130</v>
      </c>
      <c r="J20" s="227">
        <f t="shared" si="3"/>
        <v>9350</v>
      </c>
      <c r="K20" s="227">
        <f t="shared" si="3"/>
        <v>10050</v>
      </c>
    </row>
    <row r="21" spans="1:11" ht="81" customHeight="1" x14ac:dyDescent="0.25">
      <c r="A21" s="406"/>
      <c r="B21" s="414" t="s">
        <v>39</v>
      </c>
      <c r="C21" s="414" t="s">
        <v>411</v>
      </c>
      <c r="D21" s="225" t="s">
        <v>462</v>
      </c>
      <c r="E21" s="226">
        <f>1000+7900</f>
        <v>8900</v>
      </c>
      <c r="F21" s="226">
        <f>1000+8250</f>
        <v>9250</v>
      </c>
      <c r="G21" s="226">
        <f>1000+8700</f>
        <v>9700</v>
      </c>
      <c r="H21" s="226">
        <f>1000+9100</f>
        <v>10100</v>
      </c>
      <c r="I21" s="226">
        <f>1000+9630</f>
        <v>10630</v>
      </c>
      <c r="J21" s="226">
        <f>1000+9850</f>
        <v>10850</v>
      </c>
      <c r="K21" s="226">
        <f>1000+10550</f>
        <v>11550</v>
      </c>
    </row>
    <row r="22" spans="1:11" ht="81" customHeight="1" thickBot="1" x14ac:dyDescent="0.3">
      <c r="A22" s="406"/>
      <c r="B22" s="415"/>
      <c r="C22" s="415"/>
      <c r="D22" s="223" t="s">
        <v>463</v>
      </c>
      <c r="E22" s="227">
        <f>E21+300</f>
        <v>9200</v>
      </c>
      <c r="F22" s="227">
        <f t="shared" ref="F22:K22" si="4">F21+300</f>
        <v>9550</v>
      </c>
      <c r="G22" s="227">
        <f t="shared" si="4"/>
        <v>10000</v>
      </c>
      <c r="H22" s="227">
        <f t="shared" si="4"/>
        <v>10400</v>
      </c>
      <c r="I22" s="227">
        <f t="shared" si="4"/>
        <v>10930</v>
      </c>
      <c r="J22" s="227">
        <f t="shared" si="4"/>
        <v>11150</v>
      </c>
      <c r="K22" s="227">
        <f t="shared" si="4"/>
        <v>11850</v>
      </c>
    </row>
    <row r="23" spans="1:11" ht="81" customHeight="1" x14ac:dyDescent="0.25">
      <c r="A23" s="406"/>
      <c r="B23" s="414" t="s">
        <v>39</v>
      </c>
      <c r="C23" s="414" t="s">
        <v>322</v>
      </c>
      <c r="D23" s="225" t="s">
        <v>462</v>
      </c>
      <c r="E23" s="226">
        <f>1000+8800</f>
        <v>9800</v>
      </c>
      <c r="F23" s="226">
        <f>1000+9150</f>
        <v>10150</v>
      </c>
      <c r="G23" s="226">
        <f>1000+9600</f>
        <v>10600</v>
      </c>
      <c r="H23" s="226">
        <f>1000+10000</f>
        <v>11000</v>
      </c>
      <c r="I23" s="226">
        <f>1000+10530</f>
        <v>11530</v>
      </c>
      <c r="J23" s="226">
        <f>1000+10750</f>
        <v>11750</v>
      </c>
      <c r="K23" s="226">
        <f>1000+11450</f>
        <v>12450</v>
      </c>
    </row>
    <row r="24" spans="1:11" ht="81" customHeight="1" thickBot="1" x14ac:dyDescent="0.3">
      <c r="A24" s="406"/>
      <c r="B24" s="415"/>
      <c r="C24" s="415"/>
      <c r="D24" s="223" t="s">
        <v>463</v>
      </c>
      <c r="E24" s="227">
        <f>1000+9310</f>
        <v>10310</v>
      </c>
      <c r="F24" s="227">
        <f>1000+9660</f>
        <v>10660</v>
      </c>
      <c r="G24" s="227">
        <f>1000+10110</f>
        <v>11110</v>
      </c>
      <c r="H24" s="227">
        <f>1000+10510</f>
        <v>11510</v>
      </c>
      <c r="I24" s="227">
        <f>1000+11040</f>
        <v>12040</v>
      </c>
      <c r="J24" s="227">
        <f>1000+11260</f>
        <v>12260</v>
      </c>
      <c r="K24" s="227">
        <f>1000+11960</f>
        <v>12960</v>
      </c>
    </row>
    <row r="25" spans="1:11" ht="81" customHeight="1" x14ac:dyDescent="0.25">
      <c r="A25" s="406"/>
      <c r="B25" s="409" t="s">
        <v>39</v>
      </c>
      <c r="C25" s="409" t="s">
        <v>464</v>
      </c>
      <c r="D25" s="228" t="s">
        <v>462</v>
      </c>
      <c r="E25" s="229">
        <f>1000+9400</f>
        <v>10400</v>
      </c>
      <c r="F25" s="229">
        <f>1000+9750</f>
        <v>10750</v>
      </c>
      <c r="G25" s="229">
        <f>1000+10200</f>
        <v>11200</v>
      </c>
      <c r="H25" s="229">
        <f>1000+10600</f>
        <v>11600</v>
      </c>
      <c r="I25" s="229">
        <f>1000+11130</f>
        <v>12130</v>
      </c>
      <c r="J25" s="229">
        <f>1000+11350</f>
        <v>12350</v>
      </c>
      <c r="K25" s="229">
        <f>1000+12050</f>
        <v>13050</v>
      </c>
    </row>
    <row r="26" spans="1:11" ht="81" customHeight="1" thickBot="1" x14ac:dyDescent="0.3">
      <c r="A26" s="413"/>
      <c r="B26" s="415"/>
      <c r="C26" s="415"/>
      <c r="D26" s="223" t="s">
        <v>463</v>
      </c>
      <c r="E26" s="227">
        <f>1000+9910</f>
        <v>10910</v>
      </c>
      <c r="F26" s="227">
        <f>1000+10260</f>
        <v>11260</v>
      </c>
      <c r="G26" s="227">
        <f>1000+10710</f>
        <v>11710</v>
      </c>
      <c r="H26" s="227">
        <f>1000+11110</f>
        <v>12110</v>
      </c>
      <c r="I26" s="227">
        <f>1000+11640</f>
        <v>12640</v>
      </c>
      <c r="J26" s="227">
        <f>1000+11860</f>
        <v>12860</v>
      </c>
      <c r="K26" s="227">
        <f>1000+12560</f>
        <v>13560</v>
      </c>
    </row>
    <row r="27" spans="1:11" ht="81" customHeight="1" x14ac:dyDescent="0.25">
      <c r="A27" s="405" t="s">
        <v>46</v>
      </c>
      <c r="B27" s="407" t="s">
        <v>39</v>
      </c>
      <c r="C27" s="407" t="s">
        <v>410</v>
      </c>
      <c r="D27" s="225" t="s">
        <v>461</v>
      </c>
      <c r="E27" s="226">
        <f>1000+6600</f>
        <v>7600</v>
      </c>
      <c r="F27" s="226">
        <f>1000+6950</f>
        <v>7950</v>
      </c>
      <c r="G27" s="226">
        <f>1000+7400</f>
        <v>8400</v>
      </c>
      <c r="H27" s="226">
        <f>1000+7800</f>
        <v>8800</v>
      </c>
      <c r="I27" s="226">
        <f>1000+8330</f>
        <v>9330</v>
      </c>
      <c r="J27" s="226">
        <f>1000+8550</f>
        <v>9550</v>
      </c>
      <c r="K27" s="226">
        <f>1000+9250</f>
        <v>10250</v>
      </c>
    </row>
    <row r="28" spans="1:11" ht="81" customHeight="1" thickBot="1" x14ac:dyDescent="0.3">
      <c r="A28" s="406"/>
      <c r="B28" s="408"/>
      <c r="C28" s="408"/>
      <c r="D28" s="223" t="s">
        <v>463</v>
      </c>
      <c r="E28" s="227">
        <f>E27+300</f>
        <v>7900</v>
      </c>
      <c r="F28" s="227">
        <f t="shared" ref="F28:K28" si="5">F27+300</f>
        <v>8250</v>
      </c>
      <c r="G28" s="227">
        <f t="shared" si="5"/>
        <v>8700</v>
      </c>
      <c r="H28" s="227">
        <f t="shared" si="5"/>
        <v>9100</v>
      </c>
      <c r="I28" s="227">
        <f t="shared" si="5"/>
        <v>9630</v>
      </c>
      <c r="J28" s="227">
        <f t="shared" si="5"/>
        <v>9850</v>
      </c>
      <c r="K28" s="227">
        <f t="shared" si="5"/>
        <v>10550</v>
      </c>
    </row>
    <row r="29" spans="1:11" ht="81" customHeight="1" x14ac:dyDescent="0.25">
      <c r="A29" s="406"/>
      <c r="B29" s="409" t="s">
        <v>39</v>
      </c>
      <c r="C29" s="409" t="s">
        <v>411</v>
      </c>
      <c r="D29" s="228" t="s">
        <v>462</v>
      </c>
      <c r="E29" s="229">
        <f>1000+8400</f>
        <v>9400</v>
      </c>
      <c r="F29" s="229">
        <f>1000+8750</f>
        <v>9750</v>
      </c>
      <c r="G29" s="229">
        <f>1000+9200</f>
        <v>10200</v>
      </c>
      <c r="H29" s="229">
        <f>1000+9600</f>
        <v>10600</v>
      </c>
      <c r="I29" s="229">
        <f>1000+10130</f>
        <v>11130</v>
      </c>
      <c r="J29" s="229">
        <f>1000+10350</f>
        <v>11350</v>
      </c>
      <c r="K29" s="229">
        <f>1000+11050</f>
        <v>12050</v>
      </c>
    </row>
    <row r="30" spans="1:11" ht="81" customHeight="1" x14ac:dyDescent="0.25">
      <c r="A30" s="406"/>
      <c r="B30" s="410"/>
      <c r="C30" s="410"/>
      <c r="D30" s="217" t="s">
        <v>463</v>
      </c>
      <c r="E30" s="152">
        <f>E29+300</f>
        <v>9700</v>
      </c>
      <c r="F30" s="152">
        <f t="shared" ref="F30:K30" si="6">F29+300</f>
        <v>10050</v>
      </c>
      <c r="G30" s="152">
        <f t="shared" si="6"/>
        <v>10500</v>
      </c>
      <c r="H30" s="152">
        <f t="shared" si="6"/>
        <v>10900</v>
      </c>
      <c r="I30" s="152">
        <f t="shared" si="6"/>
        <v>11430</v>
      </c>
      <c r="J30" s="152">
        <f t="shared" si="6"/>
        <v>11650</v>
      </c>
      <c r="K30" s="152">
        <f t="shared" si="6"/>
        <v>12350</v>
      </c>
    </row>
    <row r="31" spans="1:11" ht="81" customHeight="1" x14ac:dyDescent="0.25">
      <c r="A31" s="406"/>
      <c r="B31" s="411" t="s">
        <v>39</v>
      </c>
      <c r="C31" s="411" t="s">
        <v>322</v>
      </c>
      <c r="D31" s="217" t="s">
        <v>462</v>
      </c>
      <c r="E31" s="152">
        <f>1000+9300</f>
        <v>10300</v>
      </c>
      <c r="F31" s="152">
        <f>1000+9650</f>
        <v>10650</v>
      </c>
      <c r="G31" s="152">
        <f>1000+10100</f>
        <v>11100</v>
      </c>
      <c r="H31" s="152">
        <f>1000+10500</f>
        <v>11500</v>
      </c>
      <c r="I31" s="152">
        <f>1000+11030</f>
        <v>12030</v>
      </c>
      <c r="J31" s="152">
        <f>1000+11250</f>
        <v>12250</v>
      </c>
      <c r="K31" s="152">
        <f>1000+11950</f>
        <v>12950</v>
      </c>
    </row>
    <row r="32" spans="1:11" ht="81" customHeight="1" x14ac:dyDescent="0.25">
      <c r="A32" s="406"/>
      <c r="B32" s="409"/>
      <c r="C32" s="409"/>
      <c r="D32" s="217" t="s">
        <v>463</v>
      </c>
      <c r="E32" s="152">
        <f>1000+9810</f>
        <v>10810</v>
      </c>
      <c r="F32" s="152">
        <f>1000+10160</f>
        <v>11160</v>
      </c>
      <c r="G32" s="152">
        <f>1000+10610</f>
        <v>11610</v>
      </c>
      <c r="H32" s="152">
        <f>1000+11010</f>
        <v>12010</v>
      </c>
      <c r="I32" s="152">
        <f>1000+11540</f>
        <v>12540</v>
      </c>
      <c r="J32" s="152">
        <f>1000+11760</f>
        <v>12760</v>
      </c>
      <c r="K32" s="152">
        <f>1000+12460</f>
        <v>13460</v>
      </c>
    </row>
    <row r="33" spans="1:11" ht="81" customHeight="1" x14ac:dyDescent="0.25">
      <c r="A33" s="406"/>
      <c r="B33" s="411" t="s">
        <v>39</v>
      </c>
      <c r="C33" s="411" t="s">
        <v>465</v>
      </c>
      <c r="D33" s="217" t="s">
        <v>462</v>
      </c>
      <c r="E33" s="152">
        <f>1000+9900</f>
        <v>10900</v>
      </c>
      <c r="F33" s="152">
        <f>1000+10250</f>
        <v>11250</v>
      </c>
      <c r="G33" s="152">
        <f>1000+10700</f>
        <v>11700</v>
      </c>
      <c r="H33" s="152">
        <f>1000+11100</f>
        <v>12100</v>
      </c>
      <c r="I33" s="152">
        <f>1000+11630</f>
        <v>12630</v>
      </c>
      <c r="J33" s="152">
        <f>1000+11850</f>
        <v>12850</v>
      </c>
      <c r="K33" s="152">
        <f>1000+12550</f>
        <v>13550</v>
      </c>
    </row>
    <row r="34" spans="1:11" ht="81" customHeight="1" x14ac:dyDescent="0.25">
      <c r="A34" s="406"/>
      <c r="B34" s="409"/>
      <c r="C34" s="409"/>
      <c r="D34" s="217" t="s">
        <v>463</v>
      </c>
      <c r="E34" s="303">
        <f>1000+10410</f>
        <v>11410</v>
      </c>
      <c r="F34" s="303">
        <f>1000+10760</f>
        <v>11760</v>
      </c>
      <c r="G34" s="303">
        <f>1000+11210</f>
        <v>12210</v>
      </c>
      <c r="H34" s="303">
        <f>1000+11610</f>
        <v>12610</v>
      </c>
      <c r="I34" s="303">
        <f>1000+12140</f>
        <v>13140</v>
      </c>
      <c r="J34" s="303">
        <f>1000+12360</f>
        <v>13360</v>
      </c>
      <c r="K34" s="303">
        <f>1000+13060</f>
        <v>14060</v>
      </c>
    </row>
    <row r="35" spans="1:11" ht="65.099999999999994" customHeight="1" x14ac:dyDescent="0.4">
      <c r="A35" s="336" t="s">
        <v>320</v>
      </c>
      <c r="B35" s="336"/>
      <c r="C35" s="336"/>
      <c r="D35" s="336"/>
      <c r="E35" s="336"/>
      <c r="F35" s="336"/>
      <c r="G35" s="336"/>
      <c r="H35" s="336"/>
      <c r="I35" s="336"/>
      <c r="J35" s="336"/>
      <c r="K35" s="336"/>
    </row>
    <row r="36" spans="1:11" ht="65.099999999999994" customHeight="1" x14ac:dyDescent="0.25">
      <c r="A36" s="399" t="s">
        <v>438</v>
      </c>
      <c r="B36" s="400"/>
      <c r="C36" s="400"/>
      <c r="D36" s="400"/>
      <c r="E36" s="400"/>
      <c r="F36" s="400"/>
      <c r="G36" s="400"/>
      <c r="H36" s="400"/>
      <c r="I36" s="400"/>
      <c r="J36" s="400"/>
      <c r="K36" s="400"/>
    </row>
    <row r="37" spans="1:11" ht="65.099999999999994" customHeight="1" x14ac:dyDescent="0.4">
      <c r="A37" s="336" t="s">
        <v>334</v>
      </c>
      <c r="B37" s="336"/>
      <c r="C37" s="336"/>
      <c r="D37" s="336"/>
      <c r="E37" s="336"/>
      <c r="F37" s="336"/>
      <c r="G37" s="336"/>
      <c r="H37" s="336"/>
      <c r="I37" s="336"/>
      <c r="J37" s="336"/>
      <c r="K37" s="336"/>
    </row>
    <row r="38" spans="1:11" ht="65.099999999999994" customHeight="1" x14ac:dyDescent="0.25">
      <c r="A38" s="401" t="s">
        <v>466</v>
      </c>
      <c r="B38" s="401"/>
      <c r="C38" s="401"/>
      <c r="D38" s="401"/>
      <c r="E38" s="401"/>
      <c r="F38" s="401"/>
      <c r="G38" s="401"/>
      <c r="H38" s="401"/>
      <c r="I38" s="401"/>
      <c r="J38" s="401"/>
      <c r="K38" s="401"/>
    </row>
    <row r="39" spans="1:11" ht="65.099999999999994" customHeight="1" x14ac:dyDescent="0.25">
      <c r="A39" s="401" t="s">
        <v>467</v>
      </c>
      <c r="B39" s="401"/>
      <c r="C39" s="401"/>
      <c r="D39" s="401"/>
      <c r="E39" s="401"/>
      <c r="F39" s="401"/>
      <c r="G39" s="401"/>
      <c r="H39" s="401"/>
      <c r="I39" s="401"/>
      <c r="J39" s="401"/>
      <c r="K39" s="401"/>
    </row>
    <row r="40" spans="1:11" ht="65.099999999999994" customHeight="1" x14ac:dyDescent="0.4">
      <c r="A40" s="336" t="s">
        <v>336</v>
      </c>
      <c r="B40" s="336"/>
      <c r="C40" s="336"/>
      <c r="D40" s="336"/>
      <c r="E40" s="336"/>
      <c r="F40" s="336"/>
      <c r="G40" s="336"/>
      <c r="H40" s="336"/>
      <c r="I40" s="336"/>
      <c r="J40" s="336"/>
      <c r="K40" s="336"/>
    </row>
    <row r="41" spans="1:11" ht="65.099999999999994" customHeight="1" x14ac:dyDescent="0.25">
      <c r="A41" s="402" t="s">
        <v>468</v>
      </c>
      <c r="B41" s="401"/>
      <c r="C41" s="401"/>
      <c r="D41" s="401"/>
      <c r="E41" s="401"/>
      <c r="F41" s="401"/>
      <c r="G41" s="401"/>
      <c r="H41" s="401"/>
      <c r="I41" s="401"/>
      <c r="J41" s="401"/>
      <c r="K41" s="401"/>
    </row>
    <row r="42" spans="1:11" ht="65.099999999999994" customHeight="1" x14ac:dyDescent="0.4">
      <c r="A42" s="403" t="s">
        <v>326</v>
      </c>
      <c r="B42" s="403"/>
      <c r="C42" s="403"/>
      <c r="D42" s="403"/>
      <c r="E42" s="403"/>
      <c r="F42" s="403"/>
      <c r="G42" s="403"/>
      <c r="H42" s="403"/>
      <c r="I42" s="403"/>
      <c r="J42" s="403"/>
      <c r="K42" s="403"/>
    </row>
    <row r="43" spans="1:11" ht="65.099999999999994" customHeight="1" x14ac:dyDescent="0.45">
      <c r="A43" s="403" t="s">
        <v>469</v>
      </c>
      <c r="B43" s="403"/>
      <c r="C43" s="403"/>
      <c r="D43" s="403"/>
      <c r="E43" s="403"/>
      <c r="F43" s="403"/>
      <c r="G43" s="403"/>
      <c r="H43" s="403"/>
      <c r="I43" s="403"/>
      <c r="J43" s="403"/>
      <c r="K43" s="403"/>
    </row>
    <row r="44" spans="1:11" ht="65.099999999999994" customHeight="1" x14ac:dyDescent="0.4">
      <c r="A44" s="395" t="s">
        <v>470</v>
      </c>
      <c r="B44" s="395"/>
      <c r="C44" s="395"/>
      <c r="D44" s="395"/>
      <c r="E44" s="395"/>
      <c r="F44" s="395"/>
      <c r="G44" s="395"/>
      <c r="H44" s="395"/>
      <c r="I44" s="395"/>
      <c r="J44" s="395"/>
      <c r="K44" s="395"/>
    </row>
    <row r="45" spans="1:11" ht="65.099999999999994" customHeight="1" x14ac:dyDescent="0.25">
      <c r="A45" s="404" t="s">
        <v>50</v>
      </c>
      <c r="B45" s="404"/>
      <c r="C45" s="404"/>
      <c r="D45" s="404"/>
      <c r="E45" s="404"/>
      <c r="F45" s="404"/>
      <c r="G45" s="404"/>
      <c r="H45" s="404"/>
      <c r="I45" s="404"/>
      <c r="J45" s="404"/>
      <c r="K45" s="404"/>
    </row>
    <row r="46" spans="1:11" ht="65.099999999999994" customHeight="1" x14ac:dyDescent="0.4">
      <c r="A46" s="334" t="s">
        <v>193</v>
      </c>
      <c r="B46" s="334"/>
      <c r="C46" s="334"/>
      <c r="D46" s="334"/>
      <c r="E46" s="334"/>
      <c r="F46" s="334"/>
      <c r="G46" s="334"/>
      <c r="H46" s="334"/>
      <c r="I46" s="334"/>
      <c r="J46" s="334"/>
      <c r="K46" s="334"/>
    </row>
    <row r="47" spans="1:11" ht="65.099999999999994" customHeight="1" x14ac:dyDescent="0.4">
      <c r="A47" s="395" t="s">
        <v>335</v>
      </c>
      <c r="B47" s="395"/>
      <c r="C47" s="395"/>
      <c r="D47" s="395"/>
      <c r="E47" s="395"/>
      <c r="F47" s="395"/>
      <c r="G47" s="395"/>
      <c r="H47" s="395"/>
      <c r="I47" s="395"/>
      <c r="J47" s="395"/>
      <c r="K47" s="395"/>
    </row>
    <row r="48" spans="1:11" ht="65.099999999999994" customHeight="1" x14ac:dyDescent="0.4">
      <c r="A48" s="218"/>
      <c r="B48" s="218"/>
      <c r="C48" s="218"/>
      <c r="D48" s="218"/>
      <c r="E48" s="218"/>
      <c r="F48" s="218"/>
      <c r="G48" s="218"/>
      <c r="H48" s="218"/>
      <c r="I48" s="218"/>
      <c r="J48" s="218"/>
      <c r="K48" s="218"/>
    </row>
    <row r="49" spans="1:11" ht="65.099999999999994" customHeight="1" x14ac:dyDescent="0.45">
      <c r="A49" s="396" t="s">
        <v>51</v>
      </c>
      <c r="B49" s="396"/>
      <c r="C49" s="396"/>
      <c r="D49" s="396"/>
      <c r="E49" s="396"/>
      <c r="F49" s="396"/>
      <c r="G49" s="396"/>
      <c r="H49" s="396"/>
      <c r="I49" s="396"/>
      <c r="J49" s="396"/>
      <c r="K49" s="70"/>
    </row>
    <row r="50" spans="1:11" ht="65.099999999999994" customHeight="1" x14ac:dyDescent="0.45">
      <c r="A50" s="397" t="s">
        <v>415</v>
      </c>
      <c r="B50" s="397"/>
      <c r="C50" s="397"/>
      <c r="D50" s="397"/>
      <c r="E50" s="397"/>
      <c r="F50" s="397"/>
      <c r="G50" s="397"/>
      <c r="H50" s="397"/>
      <c r="I50" s="397"/>
      <c r="J50" s="397"/>
      <c r="K50" s="213"/>
    </row>
    <row r="51" spans="1:11" ht="65.099999999999994" customHeight="1" x14ac:dyDescent="0.45">
      <c r="A51" s="396" t="s">
        <v>48</v>
      </c>
      <c r="B51" s="396"/>
      <c r="C51" s="396"/>
      <c r="D51" s="396"/>
      <c r="E51" s="396"/>
      <c r="F51" s="396"/>
      <c r="G51" s="396"/>
      <c r="H51" s="396"/>
      <c r="I51" s="396"/>
      <c r="J51" s="396"/>
      <c r="K51" s="213"/>
    </row>
    <row r="52" spans="1:11" ht="40.5" customHeight="1" x14ac:dyDescent="0.45">
      <c r="A52" s="398" t="s">
        <v>416</v>
      </c>
      <c r="B52" s="398"/>
      <c r="C52" s="398"/>
      <c r="D52" s="398"/>
      <c r="E52" s="398"/>
      <c r="F52" s="398"/>
      <c r="G52" s="398"/>
      <c r="H52" s="398"/>
      <c r="I52" s="398"/>
      <c r="J52" s="398"/>
      <c r="K52" s="215"/>
    </row>
    <row r="53" spans="1:11" ht="36" customHeight="1" x14ac:dyDescent="0.45">
      <c r="A53" s="398" t="s">
        <v>417</v>
      </c>
      <c r="B53" s="398"/>
      <c r="C53" s="398"/>
      <c r="D53" s="398"/>
      <c r="E53" s="398"/>
      <c r="F53" s="398"/>
      <c r="G53" s="398"/>
      <c r="H53" s="398"/>
      <c r="I53" s="398"/>
      <c r="J53" s="398"/>
      <c r="K53" s="214"/>
    </row>
    <row r="54" spans="1:11" ht="42.75" customHeight="1" x14ac:dyDescent="0.45">
      <c r="A54" s="333" t="s">
        <v>418</v>
      </c>
      <c r="B54" s="333"/>
      <c r="C54" s="333"/>
      <c r="D54" s="333"/>
      <c r="E54" s="333"/>
      <c r="F54" s="333"/>
      <c r="G54" s="333"/>
      <c r="H54" s="333"/>
      <c r="I54" s="333"/>
      <c r="J54" s="333"/>
      <c r="K54" s="219"/>
    </row>
    <row r="55" spans="1:11" ht="33" x14ac:dyDescent="0.45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62"/>
    </row>
  </sheetData>
  <mergeCells count="60">
    <mergeCell ref="A8:K8"/>
    <mergeCell ref="A1:E1"/>
    <mergeCell ref="A2:D2"/>
    <mergeCell ref="A3:E3"/>
    <mergeCell ref="A6:K7"/>
    <mergeCell ref="A9:K9"/>
    <mergeCell ref="A10:K10"/>
    <mergeCell ref="A11:A12"/>
    <mergeCell ref="B11:C12"/>
    <mergeCell ref="D11:D12"/>
    <mergeCell ref="E11:E12"/>
    <mergeCell ref="F11:F12"/>
    <mergeCell ref="G11:G12"/>
    <mergeCell ref="H11:H12"/>
    <mergeCell ref="I11:I12"/>
    <mergeCell ref="J11:J12"/>
    <mergeCell ref="K11:K12"/>
    <mergeCell ref="A13:A14"/>
    <mergeCell ref="B13:C14"/>
    <mergeCell ref="A15:A16"/>
    <mergeCell ref="B15:C16"/>
    <mergeCell ref="A17:A18"/>
    <mergeCell ref="B17:C18"/>
    <mergeCell ref="A19:A26"/>
    <mergeCell ref="B19:B20"/>
    <mergeCell ref="C19:C20"/>
    <mergeCell ref="B21:B22"/>
    <mergeCell ref="C21:C22"/>
    <mergeCell ref="B23:B24"/>
    <mergeCell ref="C23:C24"/>
    <mergeCell ref="B25:B26"/>
    <mergeCell ref="C25:C26"/>
    <mergeCell ref="A27:A34"/>
    <mergeCell ref="B27:B28"/>
    <mergeCell ref="C27:C28"/>
    <mergeCell ref="B29:B30"/>
    <mergeCell ref="C29:C30"/>
    <mergeCell ref="B31:B32"/>
    <mergeCell ref="C31:C32"/>
    <mergeCell ref="B33:B34"/>
    <mergeCell ref="C33:C34"/>
    <mergeCell ref="A46:K46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54:J54"/>
    <mergeCell ref="A47:K47"/>
    <mergeCell ref="A49:J49"/>
    <mergeCell ref="A50:J50"/>
    <mergeCell ref="A51:J51"/>
    <mergeCell ref="A52:J52"/>
    <mergeCell ref="A53:J53"/>
  </mergeCells>
  <hyperlinks>
    <hyperlink ref="A3:D3" r:id="rId1" display="e-mail: at-mebel.fasad@mail.ru"/>
    <hyperlink ref="A3" r:id="rId2" display="at-mebel.fasad@mail.ru"/>
  </hyperlinks>
  <pageMargins left="0.7" right="0.7" top="0.75" bottom="0.75" header="0.3" footer="0.3"/>
  <pageSetup paperSize="9" scale="22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39"/>
  <sheetViews>
    <sheetView zoomScale="40" zoomScaleNormal="40" workbookViewId="0">
      <selection activeCell="A6" sqref="A6:N7"/>
    </sheetView>
  </sheetViews>
  <sheetFormatPr defaultRowHeight="15" x14ac:dyDescent="0.25"/>
  <cols>
    <col min="1" max="1" width="50.140625" customWidth="1"/>
    <col min="2" max="2" width="20" customWidth="1"/>
    <col min="3" max="3" width="29.5703125" customWidth="1"/>
    <col min="4" max="4" width="30" customWidth="1"/>
    <col min="5" max="5" width="11.7109375" customWidth="1"/>
    <col min="6" max="13" width="28.7109375" customWidth="1"/>
    <col min="14" max="14" width="33.28515625" customWidth="1"/>
    <col min="15" max="15" width="27" customWidth="1"/>
  </cols>
  <sheetData>
    <row r="1" spans="1:22" ht="27.75" x14ac:dyDescent="0.4">
      <c r="A1" s="329" t="s">
        <v>441</v>
      </c>
      <c r="B1" s="329"/>
      <c r="C1" s="329"/>
      <c r="D1" s="329"/>
      <c r="E1" s="329"/>
      <c r="F1" s="3"/>
      <c r="G1" s="3"/>
      <c r="H1" s="3"/>
      <c r="I1" s="3"/>
      <c r="J1" s="3"/>
      <c r="K1" s="3"/>
      <c r="L1" s="3"/>
      <c r="M1" s="3"/>
      <c r="N1" s="3"/>
      <c r="O1" s="3"/>
      <c r="P1" s="50"/>
      <c r="Q1" s="50"/>
      <c r="R1" s="50"/>
      <c r="S1" s="50"/>
      <c r="T1" s="50"/>
      <c r="U1" s="50"/>
      <c r="V1" s="50"/>
    </row>
    <row r="2" spans="1:22" ht="27.75" x14ac:dyDescent="0.4">
      <c r="A2" s="329" t="s">
        <v>306</v>
      </c>
      <c r="B2" s="329"/>
      <c r="C2" s="329"/>
      <c r="D2" s="329"/>
      <c r="E2" s="51"/>
      <c r="F2" s="3"/>
      <c r="G2" s="3"/>
      <c r="H2" s="3"/>
      <c r="I2" s="3"/>
      <c r="J2" s="3"/>
      <c r="K2" s="3"/>
      <c r="L2" s="3"/>
      <c r="M2" s="3"/>
      <c r="N2" s="3"/>
      <c r="O2" s="3"/>
      <c r="P2" s="50"/>
      <c r="Q2" s="50"/>
      <c r="R2" s="50"/>
      <c r="S2" s="50"/>
      <c r="T2" s="50"/>
      <c r="U2" s="50"/>
      <c r="V2" s="50"/>
    </row>
    <row r="3" spans="1:22" ht="27.75" customHeight="1" x14ac:dyDescent="0.4">
      <c r="A3" s="330" t="s">
        <v>9</v>
      </c>
      <c r="B3" s="330"/>
      <c r="C3" s="330"/>
      <c r="D3" s="330"/>
      <c r="E3" s="330"/>
      <c r="F3" s="3"/>
      <c r="G3" s="3"/>
      <c r="H3" s="3"/>
      <c r="I3" s="3"/>
      <c r="J3" s="3"/>
      <c r="K3" s="3"/>
      <c r="L3" s="3"/>
      <c r="M3" s="3"/>
      <c r="N3" s="3"/>
      <c r="O3" s="3"/>
      <c r="P3" s="50"/>
      <c r="Q3" s="50"/>
      <c r="R3" s="50"/>
      <c r="S3" s="50"/>
      <c r="T3" s="50"/>
      <c r="U3" s="50"/>
      <c r="V3" s="50"/>
    </row>
    <row r="4" spans="1:22" ht="27.75" x14ac:dyDescent="0.4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441"/>
      <c r="O4" s="72"/>
      <c r="P4" s="50"/>
      <c r="Q4" s="50"/>
      <c r="R4" s="50"/>
      <c r="S4" s="50"/>
      <c r="T4" s="50"/>
      <c r="U4" s="50"/>
      <c r="V4" s="50"/>
    </row>
    <row r="5" spans="1:22" ht="27.75" customHeight="1" x14ac:dyDescent="0.45">
      <c r="A5" s="3"/>
      <c r="B5" s="3"/>
      <c r="C5" s="3"/>
      <c r="D5" s="3"/>
      <c r="E5" s="3"/>
      <c r="F5" s="3"/>
      <c r="G5" s="3"/>
      <c r="H5" s="3"/>
      <c r="I5" s="3"/>
      <c r="J5" s="339" t="str">
        <f>'Радиусные фасады ПВХ'!J4</f>
        <v>По состоянию на 28.04.2021</v>
      </c>
      <c r="K5" s="339"/>
      <c r="L5" s="3" t="s">
        <v>546</v>
      </c>
      <c r="M5" s="3"/>
      <c r="N5" s="441"/>
      <c r="O5" s="72"/>
      <c r="P5" s="50"/>
      <c r="Q5" s="50"/>
      <c r="R5" s="50"/>
      <c r="S5" s="50"/>
      <c r="T5" s="50"/>
      <c r="U5" s="50"/>
      <c r="V5" s="50"/>
    </row>
    <row r="6" spans="1:22" ht="63.75" customHeight="1" x14ac:dyDescent="0.45">
      <c r="A6" s="333" t="s">
        <v>332</v>
      </c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70"/>
      <c r="P6" s="50"/>
      <c r="Q6" s="50"/>
      <c r="R6" s="50"/>
      <c r="S6" s="50"/>
      <c r="T6" s="50"/>
      <c r="U6" s="50"/>
      <c r="V6" s="50"/>
    </row>
    <row r="7" spans="1:22" ht="27.75" customHeight="1" x14ac:dyDescent="0.45">
      <c r="A7" s="333"/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70"/>
      <c r="P7" s="50"/>
      <c r="Q7" s="50"/>
      <c r="R7" s="50"/>
      <c r="S7" s="50"/>
      <c r="T7" s="50"/>
      <c r="U7" s="50"/>
      <c r="V7" s="50"/>
    </row>
    <row r="8" spans="1:22" ht="28.5" customHeight="1" x14ac:dyDescent="0.45">
      <c r="A8" s="423" t="s">
        <v>443</v>
      </c>
      <c r="B8" s="423"/>
      <c r="C8" s="423"/>
      <c r="D8" s="423"/>
      <c r="E8" s="423"/>
      <c r="F8" s="423"/>
      <c r="G8" s="423"/>
      <c r="H8" s="423"/>
      <c r="I8" s="423"/>
      <c r="J8" s="423"/>
      <c r="K8" s="423"/>
      <c r="L8" s="423"/>
      <c r="M8" s="423"/>
      <c r="N8" s="423"/>
      <c r="O8" s="231"/>
    </row>
    <row r="9" spans="1:22" ht="53.25" customHeight="1" x14ac:dyDescent="0.45">
      <c r="A9" s="442" t="s">
        <v>376</v>
      </c>
      <c r="B9" s="442"/>
      <c r="C9" s="442"/>
      <c r="D9" s="442"/>
      <c r="E9" s="442"/>
      <c r="F9" s="442"/>
      <c r="G9" s="442"/>
      <c r="H9" s="442"/>
      <c r="I9" s="442"/>
      <c r="J9" s="442"/>
      <c r="K9" s="442"/>
      <c r="L9" s="442"/>
      <c r="M9" s="442"/>
      <c r="N9" s="442"/>
      <c r="O9" s="232"/>
    </row>
    <row r="10" spans="1:22" ht="65.099999999999994" customHeight="1" x14ac:dyDescent="0.35">
      <c r="A10" s="437" t="s">
        <v>501</v>
      </c>
      <c r="B10" s="437"/>
      <c r="C10" s="437"/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230"/>
    </row>
    <row r="11" spans="1:22" ht="65.099999999999994" customHeight="1" thickBot="1" x14ac:dyDescent="0.5">
      <c r="A11" s="406" t="s">
        <v>18</v>
      </c>
      <c r="B11" s="406" t="s">
        <v>14</v>
      </c>
      <c r="C11" s="406"/>
      <c r="D11" s="406" t="s">
        <v>15</v>
      </c>
      <c r="E11" s="406"/>
      <c r="F11" s="432" t="s">
        <v>19</v>
      </c>
      <c r="G11" s="438"/>
      <c r="H11" s="438"/>
      <c r="I11" s="433"/>
      <c r="J11" s="432" t="s">
        <v>496</v>
      </c>
      <c r="K11" s="438"/>
      <c r="L11" s="438"/>
      <c r="M11" s="433"/>
      <c r="N11" s="439" t="s">
        <v>497</v>
      </c>
      <c r="O11" s="62"/>
    </row>
    <row r="12" spans="1:22" ht="72" customHeight="1" thickBot="1" x14ac:dyDescent="0.5">
      <c r="A12" s="406"/>
      <c r="B12" s="406"/>
      <c r="C12" s="406"/>
      <c r="D12" s="406"/>
      <c r="E12" s="436"/>
      <c r="F12" s="280" t="s">
        <v>482</v>
      </c>
      <c r="G12" s="280" t="s">
        <v>78</v>
      </c>
      <c r="H12" s="280" t="s">
        <v>79</v>
      </c>
      <c r="I12" s="280" t="s">
        <v>80</v>
      </c>
      <c r="J12" s="280" t="s">
        <v>482</v>
      </c>
      <c r="K12" s="280" t="s">
        <v>78</v>
      </c>
      <c r="L12" s="280" t="s">
        <v>79</v>
      </c>
      <c r="M12" s="280" t="s">
        <v>80</v>
      </c>
      <c r="N12" s="440"/>
      <c r="O12" s="62"/>
    </row>
    <row r="13" spans="1:22" ht="65.099999999999994" customHeight="1" x14ac:dyDescent="0.45">
      <c r="A13" s="430" t="s">
        <v>498</v>
      </c>
      <c r="B13" s="443" t="s">
        <v>16</v>
      </c>
      <c r="C13" s="444"/>
      <c r="D13" s="425" t="s">
        <v>471</v>
      </c>
      <c r="E13" s="425"/>
      <c r="F13" s="302">
        <f>1000+6400</f>
        <v>7400</v>
      </c>
      <c r="G13" s="302">
        <f>F13+200</f>
        <v>7600</v>
      </c>
      <c r="H13" s="302">
        <f>G13+500</f>
        <v>8100</v>
      </c>
      <c r="I13" s="302">
        <f>H13+400</f>
        <v>8500</v>
      </c>
      <c r="J13" s="302">
        <f>1000+6700</f>
        <v>7700</v>
      </c>
      <c r="K13" s="302">
        <f>J13+200</f>
        <v>7900</v>
      </c>
      <c r="L13" s="302">
        <f>K13+500</f>
        <v>8400</v>
      </c>
      <c r="M13" s="302">
        <f>L13+400</f>
        <v>8800</v>
      </c>
      <c r="N13" s="427" t="s">
        <v>472</v>
      </c>
      <c r="O13" s="62"/>
    </row>
    <row r="14" spans="1:22" ht="65.099999999999994" customHeight="1" x14ac:dyDescent="0.45">
      <c r="A14" s="405"/>
      <c r="B14" s="445"/>
      <c r="C14" s="446"/>
      <c r="D14" s="425" t="s">
        <v>473</v>
      </c>
      <c r="E14" s="425"/>
      <c r="F14" s="151">
        <f>1000+6700</f>
        <v>7700</v>
      </c>
      <c r="G14" s="302">
        <f t="shared" ref="G14:G24" si="0">F14+200</f>
        <v>7900</v>
      </c>
      <c r="H14" s="302">
        <f t="shared" ref="H14:H24" si="1">G14+500</f>
        <v>8400</v>
      </c>
      <c r="I14" s="302">
        <f t="shared" ref="I14:I24" si="2">H14+400</f>
        <v>8800</v>
      </c>
      <c r="J14" s="151">
        <f>1000+7000</f>
        <v>8000</v>
      </c>
      <c r="K14" s="302">
        <f t="shared" ref="K14:K24" si="3">J14+200</f>
        <v>8200</v>
      </c>
      <c r="L14" s="302">
        <f t="shared" ref="L14:L24" si="4">K14+500</f>
        <v>8700</v>
      </c>
      <c r="M14" s="302">
        <f t="shared" ref="M14:M24" si="5">L14+400</f>
        <v>9100</v>
      </c>
      <c r="N14" s="428"/>
      <c r="O14" s="62"/>
    </row>
    <row r="15" spans="1:22" ht="65.099999999999994" customHeight="1" x14ac:dyDescent="0.45">
      <c r="A15" s="430" t="s">
        <v>46</v>
      </c>
      <c r="B15" s="432" t="s">
        <v>16</v>
      </c>
      <c r="C15" s="433"/>
      <c r="D15" s="425" t="s">
        <v>474</v>
      </c>
      <c r="E15" s="425"/>
      <c r="F15" s="151">
        <f>1000+6900</f>
        <v>7900</v>
      </c>
      <c r="G15" s="302">
        <f t="shared" si="0"/>
        <v>8100</v>
      </c>
      <c r="H15" s="302">
        <f t="shared" si="1"/>
        <v>8600</v>
      </c>
      <c r="I15" s="302">
        <f t="shared" si="2"/>
        <v>9000</v>
      </c>
      <c r="J15" s="151">
        <f>1000+7200</f>
        <v>8200</v>
      </c>
      <c r="K15" s="302">
        <f t="shared" si="3"/>
        <v>8400</v>
      </c>
      <c r="L15" s="302">
        <f t="shared" si="4"/>
        <v>8900</v>
      </c>
      <c r="M15" s="302">
        <f t="shared" si="5"/>
        <v>9300</v>
      </c>
      <c r="N15" s="428"/>
      <c r="O15" s="62"/>
    </row>
    <row r="16" spans="1:22" ht="65.099999999999994" customHeight="1" x14ac:dyDescent="0.45">
      <c r="A16" s="405"/>
      <c r="B16" s="434"/>
      <c r="C16" s="435"/>
      <c r="D16" s="425" t="s">
        <v>475</v>
      </c>
      <c r="E16" s="425"/>
      <c r="F16" s="151">
        <f>1000+7200</f>
        <v>8200</v>
      </c>
      <c r="G16" s="302">
        <f t="shared" si="0"/>
        <v>8400</v>
      </c>
      <c r="H16" s="302">
        <f t="shared" si="1"/>
        <v>8900</v>
      </c>
      <c r="I16" s="302">
        <f t="shared" si="2"/>
        <v>9300</v>
      </c>
      <c r="J16" s="151">
        <f>1000+7500</f>
        <v>8500</v>
      </c>
      <c r="K16" s="302">
        <f t="shared" si="3"/>
        <v>8700</v>
      </c>
      <c r="L16" s="302">
        <f t="shared" si="4"/>
        <v>9200</v>
      </c>
      <c r="M16" s="302">
        <f t="shared" si="5"/>
        <v>9600</v>
      </c>
      <c r="N16" s="428"/>
      <c r="O16" s="62"/>
    </row>
    <row r="17" spans="1:15" ht="65.099999999999994" customHeight="1" x14ac:dyDescent="0.45">
      <c r="A17" s="430" t="s">
        <v>45</v>
      </c>
      <c r="B17" s="411" t="s">
        <v>39</v>
      </c>
      <c r="C17" s="411" t="s">
        <v>6</v>
      </c>
      <c r="D17" s="425" t="s">
        <v>476</v>
      </c>
      <c r="E17" s="425"/>
      <c r="F17" s="152">
        <f>1000+6700</f>
        <v>7700</v>
      </c>
      <c r="G17" s="302">
        <f t="shared" si="0"/>
        <v>7900</v>
      </c>
      <c r="H17" s="302">
        <f t="shared" si="1"/>
        <v>8400</v>
      </c>
      <c r="I17" s="302">
        <f t="shared" si="2"/>
        <v>8800</v>
      </c>
      <c r="J17" s="152">
        <f>1000+7000</f>
        <v>8000</v>
      </c>
      <c r="K17" s="302">
        <f t="shared" si="3"/>
        <v>8200</v>
      </c>
      <c r="L17" s="302">
        <f t="shared" si="4"/>
        <v>8700</v>
      </c>
      <c r="M17" s="302">
        <f t="shared" si="5"/>
        <v>9100</v>
      </c>
      <c r="N17" s="428"/>
      <c r="O17" s="62"/>
    </row>
    <row r="18" spans="1:15" ht="65.099999999999994" customHeight="1" x14ac:dyDescent="0.45">
      <c r="A18" s="431"/>
      <c r="B18" s="409"/>
      <c r="C18" s="409"/>
      <c r="D18" s="425" t="s">
        <v>477</v>
      </c>
      <c r="E18" s="425"/>
      <c r="F18" s="152">
        <f>1000+7000</f>
        <v>8000</v>
      </c>
      <c r="G18" s="302">
        <f t="shared" si="0"/>
        <v>8200</v>
      </c>
      <c r="H18" s="302">
        <f t="shared" si="1"/>
        <v>8700</v>
      </c>
      <c r="I18" s="302">
        <f t="shared" si="2"/>
        <v>9100</v>
      </c>
      <c r="J18" s="152">
        <f>1000+7300</f>
        <v>8300</v>
      </c>
      <c r="K18" s="302">
        <f t="shared" si="3"/>
        <v>8500</v>
      </c>
      <c r="L18" s="302">
        <f t="shared" si="4"/>
        <v>9000</v>
      </c>
      <c r="M18" s="302">
        <f t="shared" si="5"/>
        <v>9400</v>
      </c>
      <c r="N18" s="428"/>
      <c r="O18" s="62"/>
    </row>
    <row r="19" spans="1:15" ht="65.099999999999994" customHeight="1" x14ac:dyDescent="0.45">
      <c r="A19" s="431"/>
      <c r="B19" s="411" t="s">
        <v>39</v>
      </c>
      <c r="C19" s="411" t="s">
        <v>333</v>
      </c>
      <c r="D19" s="425" t="s">
        <v>476</v>
      </c>
      <c r="E19" s="425"/>
      <c r="F19" s="152">
        <f>1000+7700</f>
        <v>8700</v>
      </c>
      <c r="G19" s="302">
        <f t="shared" si="0"/>
        <v>8900</v>
      </c>
      <c r="H19" s="302">
        <f t="shared" si="1"/>
        <v>9400</v>
      </c>
      <c r="I19" s="302">
        <f t="shared" si="2"/>
        <v>9800</v>
      </c>
      <c r="J19" s="152">
        <f>1000+8000</f>
        <v>9000</v>
      </c>
      <c r="K19" s="302">
        <f t="shared" si="3"/>
        <v>9200</v>
      </c>
      <c r="L19" s="302">
        <f t="shared" si="4"/>
        <v>9700</v>
      </c>
      <c r="M19" s="302">
        <f t="shared" si="5"/>
        <v>10100</v>
      </c>
      <c r="N19" s="428"/>
      <c r="O19" s="62"/>
    </row>
    <row r="20" spans="1:15" ht="65.099999999999994" customHeight="1" x14ac:dyDescent="0.45">
      <c r="A20" s="405"/>
      <c r="B20" s="409"/>
      <c r="C20" s="409"/>
      <c r="D20" s="425" t="s">
        <v>477</v>
      </c>
      <c r="E20" s="425"/>
      <c r="F20" s="152">
        <f>1000+8000</f>
        <v>9000</v>
      </c>
      <c r="G20" s="302">
        <f t="shared" si="0"/>
        <v>9200</v>
      </c>
      <c r="H20" s="302">
        <f t="shared" si="1"/>
        <v>9700</v>
      </c>
      <c r="I20" s="302">
        <f t="shared" si="2"/>
        <v>10100</v>
      </c>
      <c r="J20" s="152">
        <f>1000+8300</f>
        <v>9300</v>
      </c>
      <c r="K20" s="302">
        <f t="shared" si="3"/>
        <v>9500</v>
      </c>
      <c r="L20" s="302">
        <f t="shared" si="4"/>
        <v>10000</v>
      </c>
      <c r="M20" s="302">
        <f t="shared" si="5"/>
        <v>10400</v>
      </c>
      <c r="N20" s="428"/>
      <c r="O20" s="62"/>
    </row>
    <row r="21" spans="1:15" ht="65.099999999999994" customHeight="1" x14ac:dyDescent="0.45">
      <c r="A21" s="406" t="s">
        <v>46</v>
      </c>
      <c r="B21" s="410" t="s">
        <v>39</v>
      </c>
      <c r="C21" s="410" t="s">
        <v>6</v>
      </c>
      <c r="D21" s="425" t="s">
        <v>476</v>
      </c>
      <c r="E21" s="425"/>
      <c r="F21" s="152">
        <f>1000+7200</f>
        <v>8200</v>
      </c>
      <c r="G21" s="302">
        <f t="shared" si="0"/>
        <v>8400</v>
      </c>
      <c r="H21" s="302">
        <f t="shared" si="1"/>
        <v>8900</v>
      </c>
      <c r="I21" s="302">
        <f t="shared" si="2"/>
        <v>9300</v>
      </c>
      <c r="J21" s="152">
        <f>1000+7500</f>
        <v>8500</v>
      </c>
      <c r="K21" s="302">
        <f t="shared" si="3"/>
        <v>8700</v>
      </c>
      <c r="L21" s="302">
        <f t="shared" si="4"/>
        <v>9200</v>
      </c>
      <c r="M21" s="302">
        <f t="shared" si="5"/>
        <v>9600</v>
      </c>
      <c r="N21" s="428"/>
      <c r="O21" s="62"/>
    </row>
    <row r="22" spans="1:15" ht="96.75" customHeight="1" x14ac:dyDescent="0.45">
      <c r="A22" s="406"/>
      <c r="B22" s="410"/>
      <c r="C22" s="410"/>
      <c r="D22" s="425" t="s">
        <v>477</v>
      </c>
      <c r="E22" s="425"/>
      <c r="F22" s="152">
        <f>1000+7500</f>
        <v>8500</v>
      </c>
      <c r="G22" s="302">
        <f t="shared" si="0"/>
        <v>8700</v>
      </c>
      <c r="H22" s="302">
        <f t="shared" si="1"/>
        <v>9200</v>
      </c>
      <c r="I22" s="302">
        <f t="shared" si="2"/>
        <v>9600</v>
      </c>
      <c r="J22" s="152">
        <f>1000+7800</f>
        <v>8800</v>
      </c>
      <c r="K22" s="302">
        <f t="shared" si="3"/>
        <v>9000</v>
      </c>
      <c r="L22" s="302">
        <f t="shared" si="4"/>
        <v>9500</v>
      </c>
      <c r="M22" s="302">
        <f t="shared" si="5"/>
        <v>9900</v>
      </c>
      <c r="N22" s="428"/>
      <c r="O22" s="62"/>
    </row>
    <row r="23" spans="1:15" ht="66" customHeight="1" x14ac:dyDescent="0.45">
      <c r="A23" s="406"/>
      <c r="B23" s="410" t="s">
        <v>39</v>
      </c>
      <c r="C23" s="410" t="s">
        <v>333</v>
      </c>
      <c r="D23" s="425" t="s">
        <v>476</v>
      </c>
      <c r="E23" s="425"/>
      <c r="F23" s="152">
        <f>1000+8200</f>
        <v>9200</v>
      </c>
      <c r="G23" s="302">
        <f t="shared" si="0"/>
        <v>9400</v>
      </c>
      <c r="H23" s="302">
        <f t="shared" si="1"/>
        <v>9900</v>
      </c>
      <c r="I23" s="302">
        <f t="shared" si="2"/>
        <v>10300</v>
      </c>
      <c r="J23" s="152">
        <f>1000+8500</f>
        <v>9500</v>
      </c>
      <c r="K23" s="302">
        <f t="shared" si="3"/>
        <v>9700</v>
      </c>
      <c r="L23" s="302">
        <f t="shared" si="4"/>
        <v>10200</v>
      </c>
      <c r="M23" s="302">
        <f t="shared" si="5"/>
        <v>10600</v>
      </c>
      <c r="N23" s="428"/>
      <c r="O23" s="62"/>
    </row>
    <row r="24" spans="1:15" ht="75.75" customHeight="1" x14ac:dyDescent="0.45">
      <c r="A24" s="406"/>
      <c r="B24" s="410"/>
      <c r="C24" s="410"/>
      <c r="D24" s="425" t="s">
        <v>477</v>
      </c>
      <c r="E24" s="425"/>
      <c r="F24" s="152">
        <f>1000+8500</f>
        <v>9500</v>
      </c>
      <c r="G24" s="302">
        <f t="shared" si="0"/>
        <v>9700</v>
      </c>
      <c r="H24" s="302">
        <f t="shared" si="1"/>
        <v>10200</v>
      </c>
      <c r="I24" s="302">
        <f t="shared" si="2"/>
        <v>10600</v>
      </c>
      <c r="J24" s="152">
        <f>1000+8800</f>
        <v>9800</v>
      </c>
      <c r="K24" s="302">
        <f t="shared" si="3"/>
        <v>10000</v>
      </c>
      <c r="L24" s="302">
        <f t="shared" si="4"/>
        <v>10500</v>
      </c>
      <c r="M24" s="302">
        <f t="shared" si="5"/>
        <v>10900</v>
      </c>
      <c r="N24" s="429"/>
      <c r="O24" s="62"/>
    </row>
    <row r="25" spans="1:15" ht="107.25" customHeight="1" x14ac:dyDescent="0.5">
      <c r="A25" s="426" t="s">
        <v>328</v>
      </c>
      <c r="B25" s="426"/>
      <c r="C25" s="426"/>
      <c r="D25" s="426"/>
      <c r="E25" s="426"/>
      <c r="F25" s="426"/>
      <c r="G25" s="426"/>
      <c r="H25" s="426"/>
      <c r="I25" s="426"/>
      <c r="J25" s="426"/>
      <c r="K25" s="426"/>
      <c r="L25" s="426"/>
      <c r="M25" s="426"/>
      <c r="N25" s="426"/>
      <c r="O25" s="135"/>
    </row>
    <row r="26" spans="1:15" ht="50.25" customHeight="1" x14ac:dyDescent="0.45">
      <c r="A26" s="319" t="s">
        <v>478</v>
      </c>
      <c r="B26" s="319"/>
      <c r="C26" s="319"/>
      <c r="D26" s="319"/>
      <c r="E26" s="319"/>
      <c r="F26" s="319"/>
      <c r="G26" s="319"/>
      <c r="H26" s="319"/>
      <c r="I26" s="319"/>
      <c r="J26" s="319"/>
      <c r="K26" s="319"/>
      <c r="L26" s="319"/>
      <c r="M26" s="319"/>
      <c r="N26" s="319"/>
      <c r="O26" s="319"/>
    </row>
    <row r="27" spans="1:15" ht="36.75" customHeight="1" x14ac:dyDescent="0.45">
      <c r="A27" s="319" t="s">
        <v>479</v>
      </c>
      <c r="B27" s="319"/>
      <c r="C27" s="319"/>
      <c r="D27" s="319"/>
      <c r="E27" s="319"/>
      <c r="F27" s="319"/>
      <c r="G27" s="319"/>
      <c r="H27" s="319"/>
      <c r="I27" s="319"/>
      <c r="J27" s="319"/>
      <c r="K27" s="319"/>
      <c r="L27" s="319"/>
      <c r="M27" s="319"/>
      <c r="N27" s="319"/>
      <c r="O27" s="271"/>
    </row>
    <row r="28" spans="1:15" ht="49.5" customHeight="1" x14ac:dyDescent="0.4">
      <c r="A28" s="335" t="s">
        <v>330</v>
      </c>
      <c r="B28" s="335"/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269"/>
    </row>
    <row r="29" spans="1:15" ht="62.25" customHeight="1" x14ac:dyDescent="0.5">
      <c r="A29" s="392" t="s">
        <v>480</v>
      </c>
      <c r="B29" s="392"/>
      <c r="C29" s="392"/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  <c r="O29" s="135"/>
    </row>
    <row r="30" spans="1:15" ht="41.25" customHeight="1" x14ac:dyDescent="0.5">
      <c r="A30" s="392" t="s">
        <v>481</v>
      </c>
      <c r="B30" s="392"/>
      <c r="C30" s="392"/>
      <c r="D30" s="392"/>
      <c r="E30" s="392"/>
      <c r="F30" s="392"/>
      <c r="G30" s="392"/>
      <c r="H30" s="392"/>
      <c r="I30" s="392"/>
      <c r="J30" s="392"/>
      <c r="K30" s="392"/>
      <c r="L30" s="392"/>
      <c r="M30" s="392"/>
      <c r="N30" s="392"/>
      <c r="O30" s="135"/>
    </row>
    <row r="31" spans="1:15" ht="31.5" customHeight="1" x14ac:dyDescent="0.5">
      <c r="A31" s="392" t="s">
        <v>47</v>
      </c>
      <c r="B31" s="392"/>
      <c r="C31" s="392"/>
      <c r="D31" s="392"/>
      <c r="E31" s="392"/>
      <c r="F31" s="392"/>
      <c r="G31" s="392"/>
      <c r="H31" s="392"/>
      <c r="I31" s="392"/>
      <c r="J31" s="392"/>
      <c r="K31" s="392"/>
      <c r="L31" s="392"/>
      <c r="M31" s="392"/>
      <c r="N31" s="392"/>
      <c r="O31" s="135"/>
    </row>
    <row r="32" spans="1:15" ht="31.5" customHeight="1" x14ac:dyDescent="0.5">
      <c r="A32" s="396" t="s">
        <v>51</v>
      </c>
      <c r="B32" s="396"/>
      <c r="C32" s="396"/>
      <c r="D32" s="396"/>
      <c r="E32" s="396"/>
      <c r="F32" s="396"/>
      <c r="G32" s="396"/>
      <c r="H32" s="396"/>
      <c r="I32" s="396"/>
      <c r="J32" s="396"/>
      <c r="K32" s="396"/>
      <c r="L32" s="396"/>
      <c r="M32" s="396"/>
      <c r="N32" s="396"/>
      <c r="O32" s="135"/>
    </row>
    <row r="33" spans="1:15" ht="31.5" customHeight="1" x14ac:dyDescent="0.5">
      <c r="A33" s="397" t="s">
        <v>415</v>
      </c>
      <c r="B33" s="397"/>
      <c r="C33" s="397"/>
      <c r="D33" s="397"/>
      <c r="E33" s="397"/>
      <c r="F33" s="397"/>
      <c r="G33" s="397"/>
      <c r="H33" s="397"/>
      <c r="I33" s="397"/>
      <c r="J33" s="397"/>
      <c r="K33" s="397"/>
      <c r="L33" s="397"/>
      <c r="M33" s="397"/>
      <c r="N33" s="397"/>
      <c r="O33" s="135"/>
    </row>
    <row r="34" spans="1:15" ht="33.75" x14ac:dyDescent="0.5">
      <c r="A34" s="396" t="s">
        <v>48</v>
      </c>
      <c r="B34" s="396"/>
      <c r="C34" s="396"/>
      <c r="D34" s="396"/>
      <c r="E34" s="396"/>
      <c r="F34" s="396"/>
      <c r="G34" s="396"/>
      <c r="H34" s="396"/>
      <c r="I34" s="396"/>
      <c r="J34" s="396"/>
      <c r="K34" s="396"/>
      <c r="L34" s="396"/>
      <c r="M34" s="396"/>
      <c r="N34" s="396"/>
      <c r="O34" s="135"/>
    </row>
    <row r="35" spans="1:15" ht="33" customHeight="1" x14ac:dyDescent="0.45">
      <c r="A35" s="398" t="s">
        <v>505</v>
      </c>
      <c r="B35" s="398"/>
      <c r="C35" s="398"/>
      <c r="D35" s="398"/>
      <c r="E35" s="398"/>
      <c r="F35" s="398"/>
      <c r="G35" s="398"/>
      <c r="H35" s="398"/>
      <c r="I35" s="398"/>
      <c r="J35" s="398"/>
      <c r="K35" s="398"/>
      <c r="L35" s="398"/>
      <c r="M35" s="398"/>
      <c r="N35" s="398"/>
      <c r="O35" s="62"/>
    </row>
    <row r="36" spans="1:15" ht="28.5" x14ac:dyDescent="0.45">
      <c r="A36" s="398" t="s">
        <v>417</v>
      </c>
      <c r="B36" s="398"/>
      <c r="C36" s="398"/>
      <c r="D36" s="398"/>
      <c r="E36" s="398"/>
      <c r="F36" s="398"/>
      <c r="G36" s="398"/>
      <c r="H36" s="398"/>
      <c r="I36" s="398"/>
      <c r="J36" s="398"/>
      <c r="K36" s="398"/>
      <c r="L36" s="398"/>
      <c r="M36" s="398"/>
      <c r="N36" s="398"/>
      <c r="O36" s="62"/>
    </row>
    <row r="37" spans="1:15" ht="33" x14ac:dyDescent="0.45">
      <c r="A37" s="333" t="s">
        <v>418</v>
      </c>
      <c r="B37" s="333"/>
      <c r="C37" s="333"/>
      <c r="D37" s="333"/>
      <c r="E37" s="333"/>
      <c r="F37" s="333"/>
      <c r="G37" s="333"/>
      <c r="H37" s="333"/>
      <c r="I37" s="333"/>
      <c r="J37" s="333"/>
      <c r="K37" s="333"/>
      <c r="L37" s="333"/>
      <c r="M37" s="333"/>
      <c r="N37" s="333"/>
    </row>
    <row r="38" spans="1:15" ht="28.5" x14ac:dyDescent="0.45">
      <c r="A38" s="398" t="s">
        <v>417</v>
      </c>
      <c r="B38" s="398"/>
      <c r="C38" s="398"/>
      <c r="D38" s="398"/>
      <c r="E38" s="398"/>
      <c r="F38" s="398"/>
      <c r="G38" s="398"/>
      <c r="H38" s="398"/>
      <c r="I38" s="398"/>
      <c r="J38" s="398"/>
      <c r="K38" s="398"/>
      <c r="L38" s="398"/>
      <c r="M38" s="398"/>
      <c r="N38" s="398"/>
    </row>
    <row r="39" spans="1:15" ht="33" x14ac:dyDescent="0.45">
      <c r="A39" s="333" t="s">
        <v>418</v>
      </c>
      <c r="B39" s="333"/>
      <c r="C39" s="333"/>
      <c r="D39" s="333"/>
      <c r="E39" s="333"/>
      <c r="F39" s="333"/>
      <c r="G39" s="333"/>
      <c r="H39" s="333"/>
      <c r="I39" s="333"/>
      <c r="J39" s="333"/>
      <c r="K39" s="333"/>
      <c r="L39" s="333"/>
      <c r="M39" s="333"/>
      <c r="N39" s="333"/>
    </row>
  </sheetData>
  <mergeCells count="57">
    <mergeCell ref="A1:E1"/>
    <mergeCell ref="A2:D2"/>
    <mergeCell ref="A3:E3"/>
    <mergeCell ref="D13:E13"/>
    <mergeCell ref="D11:E12"/>
    <mergeCell ref="A11:A12"/>
    <mergeCell ref="A10:N10"/>
    <mergeCell ref="F11:I11"/>
    <mergeCell ref="J11:M11"/>
    <mergeCell ref="N11:N12"/>
    <mergeCell ref="N4:N5"/>
    <mergeCell ref="J5:K5"/>
    <mergeCell ref="A6:N7"/>
    <mergeCell ref="A8:N8"/>
    <mergeCell ref="A9:N9"/>
    <mergeCell ref="B13:C14"/>
    <mergeCell ref="B11:C12"/>
    <mergeCell ref="D16:E16"/>
    <mergeCell ref="D17:E17"/>
    <mergeCell ref="D18:E18"/>
    <mergeCell ref="D19:E19"/>
    <mergeCell ref="D15:E15"/>
    <mergeCell ref="B15:C16"/>
    <mergeCell ref="B17:B18"/>
    <mergeCell ref="C17:C18"/>
    <mergeCell ref="B19:B20"/>
    <mergeCell ref="C19:C20"/>
    <mergeCell ref="D20:E20"/>
    <mergeCell ref="D14:E14"/>
    <mergeCell ref="B23:B24"/>
    <mergeCell ref="C23:C24"/>
    <mergeCell ref="D23:E23"/>
    <mergeCell ref="D24:E24"/>
    <mergeCell ref="A25:N25"/>
    <mergeCell ref="N13:N24"/>
    <mergeCell ref="A17:A20"/>
    <mergeCell ref="A21:A24"/>
    <mergeCell ref="A13:A14"/>
    <mergeCell ref="A15:A16"/>
    <mergeCell ref="B21:B22"/>
    <mergeCell ref="C21:C22"/>
    <mergeCell ref="D21:E21"/>
    <mergeCell ref="D22:E22"/>
    <mergeCell ref="A26:O26"/>
    <mergeCell ref="A32:N32"/>
    <mergeCell ref="A33:N33"/>
    <mergeCell ref="A34:N34"/>
    <mergeCell ref="A27:N27"/>
    <mergeCell ref="A28:N28"/>
    <mergeCell ref="A29:N29"/>
    <mergeCell ref="A30:N30"/>
    <mergeCell ref="A31:N31"/>
    <mergeCell ref="A35:N35"/>
    <mergeCell ref="A36:N36"/>
    <mergeCell ref="A37:N37"/>
    <mergeCell ref="A38:N38"/>
    <mergeCell ref="A39:N39"/>
  </mergeCells>
  <hyperlinks>
    <hyperlink ref="A3:D3" r:id="rId1" display="e-mail: at-mebel.fasad@mail.ru"/>
    <hyperlink ref="A3" r:id="rId2" display="at-mebel.fasad@mail.ru"/>
  </hyperlinks>
  <pageMargins left="0.43307086614173229" right="0" top="0" bottom="0" header="0.31496062992125984" footer="0"/>
  <pageSetup paperSize="9" scale="22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M85"/>
  <sheetViews>
    <sheetView zoomScale="50" zoomScaleNormal="50" workbookViewId="0">
      <selection activeCell="A8" sqref="A8:J8"/>
    </sheetView>
  </sheetViews>
  <sheetFormatPr defaultRowHeight="15" x14ac:dyDescent="0.25"/>
  <cols>
    <col min="1" max="1" width="18.85546875" style="74" customWidth="1"/>
    <col min="2" max="2" width="69" style="21" customWidth="1"/>
    <col min="3" max="6" width="30.7109375" style="20" customWidth="1"/>
    <col min="7" max="7" width="30.7109375" style="19" customWidth="1"/>
    <col min="8" max="9" width="30.7109375" customWidth="1"/>
    <col min="10" max="10" width="15.28515625" customWidth="1"/>
  </cols>
  <sheetData>
    <row r="1" spans="1:11" ht="45.75" customHeight="1" x14ac:dyDescent="0.35">
      <c r="A1" s="447" t="s">
        <v>441</v>
      </c>
      <c r="B1" s="447"/>
      <c r="C1" s="447"/>
      <c r="D1" s="447"/>
      <c r="E1" s="447"/>
      <c r="F1"/>
      <c r="G1"/>
    </row>
    <row r="2" spans="1:11" ht="39.6" customHeight="1" x14ac:dyDescent="0.35">
      <c r="A2" s="447" t="s">
        <v>306</v>
      </c>
      <c r="B2" s="447"/>
      <c r="C2" s="447"/>
      <c r="D2" s="447"/>
      <c r="E2" s="44"/>
      <c r="F2"/>
      <c r="G2"/>
    </row>
    <row r="3" spans="1:11" ht="25.9" customHeight="1" x14ac:dyDescent="0.45">
      <c r="A3" s="448" t="s">
        <v>9</v>
      </c>
      <c r="B3" s="448"/>
      <c r="C3" s="448"/>
      <c r="D3" s="448"/>
      <c r="E3" s="448"/>
      <c r="F3"/>
      <c r="G3" s="298"/>
      <c r="H3" s="298"/>
      <c r="I3" s="77"/>
      <c r="J3" s="77"/>
    </row>
    <row r="4" spans="1:11" ht="25.5" customHeight="1" x14ac:dyDescent="0.45">
      <c r="A4"/>
      <c r="B4"/>
      <c r="C4"/>
      <c r="D4"/>
      <c r="E4"/>
      <c r="F4"/>
      <c r="G4" s="298"/>
      <c r="H4" s="298"/>
      <c r="I4" s="77"/>
      <c r="J4" s="77"/>
    </row>
    <row r="5" spans="1:11" ht="27.75" customHeight="1" x14ac:dyDescent="0.45">
      <c r="A5"/>
      <c r="B5"/>
      <c r="C5"/>
      <c r="D5"/>
      <c r="E5"/>
      <c r="F5"/>
      <c r="G5" s="339" t="s">
        <v>547</v>
      </c>
      <c r="H5" s="339"/>
      <c r="I5" s="77" t="s">
        <v>546</v>
      </c>
      <c r="J5" s="77"/>
      <c r="K5" s="63"/>
    </row>
    <row r="6" spans="1:11" ht="44.45" customHeight="1" x14ac:dyDescent="0.25">
      <c r="A6" s="333" t="s">
        <v>337</v>
      </c>
      <c r="B6" s="333"/>
      <c r="C6" s="333"/>
      <c r="D6" s="333"/>
      <c r="E6" s="333"/>
      <c r="F6" s="333"/>
      <c r="G6" s="333"/>
      <c r="H6" s="333"/>
      <c r="I6" s="333"/>
      <c r="J6" s="333"/>
      <c r="K6" s="333"/>
    </row>
    <row r="7" spans="1:11" s="74" customFormat="1" ht="12" customHeight="1" x14ac:dyDescent="0.25">
      <c r="A7" s="333"/>
      <c r="B7" s="333"/>
      <c r="C7" s="333"/>
      <c r="D7" s="333"/>
      <c r="E7" s="333"/>
      <c r="F7" s="333"/>
      <c r="G7" s="333"/>
      <c r="H7" s="333"/>
      <c r="I7" s="333"/>
      <c r="J7" s="333"/>
      <c r="K7" s="333"/>
    </row>
    <row r="8" spans="1:11" s="74" customFormat="1" ht="28.5" customHeight="1" x14ac:dyDescent="0.45">
      <c r="A8" s="317" t="s">
        <v>443</v>
      </c>
      <c r="B8" s="318"/>
      <c r="C8" s="318"/>
      <c r="D8" s="318"/>
      <c r="E8" s="318"/>
      <c r="F8" s="318"/>
      <c r="G8" s="318"/>
      <c r="H8" s="318"/>
      <c r="I8" s="318"/>
      <c r="J8" s="318"/>
      <c r="K8" s="200"/>
    </row>
    <row r="9" spans="1:11" s="74" customFormat="1" ht="30" customHeight="1" x14ac:dyDescent="0.45">
      <c r="A9" s="396" t="s">
        <v>338</v>
      </c>
      <c r="B9" s="396"/>
      <c r="C9" s="396"/>
      <c r="D9" s="396"/>
      <c r="E9" s="396"/>
      <c r="F9" s="396"/>
      <c r="G9" s="396"/>
      <c r="H9" s="396"/>
      <c r="I9" s="396"/>
      <c r="J9" s="396"/>
      <c r="K9" s="200"/>
    </row>
    <row r="10" spans="1:11" s="74" customFormat="1" ht="40.5" customHeight="1" x14ac:dyDescent="0.4">
      <c r="A10" s="455" t="s">
        <v>444</v>
      </c>
      <c r="B10" s="456"/>
      <c r="C10" s="456"/>
      <c r="D10" s="456"/>
      <c r="E10" s="456"/>
      <c r="F10" s="456"/>
      <c r="G10" s="456"/>
      <c r="H10" s="456"/>
      <c r="I10" s="456"/>
      <c r="J10" s="3"/>
      <c r="K10"/>
    </row>
    <row r="11" spans="1:11" s="74" customFormat="1" ht="30" customHeight="1" x14ac:dyDescent="0.4">
      <c r="A11" s="456" t="s">
        <v>365</v>
      </c>
      <c r="B11" s="456"/>
      <c r="C11" s="456"/>
      <c r="D11" s="456"/>
      <c r="E11" s="456"/>
      <c r="F11" s="456"/>
      <c r="G11" s="456"/>
      <c r="H11" s="456"/>
      <c r="I11" s="456"/>
      <c r="J11" s="3"/>
      <c r="K11"/>
    </row>
    <row r="12" spans="1:11" s="74" customFormat="1" ht="30" customHeight="1" x14ac:dyDescent="0.4">
      <c r="A12" s="457" t="s">
        <v>166</v>
      </c>
      <c r="B12" s="457"/>
      <c r="C12" s="457"/>
      <c r="D12" s="457"/>
      <c r="E12" s="457"/>
      <c r="F12" s="457"/>
      <c r="G12" s="457"/>
      <c r="H12" s="457"/>
      <c r="I12" s="457"/>
      <c r="J12" s="3"/>
      <c r="K12"/>
    </row>
    <row r="13" spans="1:11" s="24" customFormat="1" ht="75" customHeight="1" x14ac:dyDescent="0.4">
      <c r="A13" s="418" t="s">
        <v>147</v>
      </c>
      <c r="B13" s="418"/>
      <c r="C13" s="204" t="s">
        <v>139</v>
      </c>
      <c r="D13" s="204" t="s">
        <v>146</v>
      </c>
      <c r="E13" s="204" t="s">
        <v>117</v>
      </c>
      <c r="F13" s="204" t="s">
        <v>145</v>
      </c>
      <c r="G13" s="204" t="s">
        <v>144</v>
      </c>
      <c r="H13" s="207" t="s">
        <v>143</v>
      </c>
      <c r="I13" s="207" t="s">
        <v>142</v>
      </c>
      <c r="J13" s="82"/>
      <c r="K13"/>
    </row>
    <row r="14" spans="1:11" s="24" customFormat="1" ht="35.1" customHeight="1" x14ac:dyDescent="0.25">
      <c r="A14" s="449" t="s">
        <v>106</v>
      </c>
      <c r="B14" s="450"/>
      <c r="C14" s="204" t="s">
        <v>167</v>
      </c>
      <c r="D14" s="148">
        <v>200</v>
      </c>
      <c r="E14" s="148">
        <v>246</v>
      </c>
      <c r="F14" s="148">
        <v>268</v>
      </c>
      <c r="G14" s="148">
        <v>314</v>
      </c>
      <c r="H14" s="148">
        <v>400</v>
      </c>
      <c r="I14" s="148">
        <v>460</v>
      </c>
      <c r="J14" s="83"/>
      <c r="K14" s="74"/>
    </row>
    <row r="15" spans="1:11" s="24" customFormat="1" ht="35.1" customHeight="1" x14ac:dyDescent="0.25">
      <c r="A15" s="451"/>
      <c r="B15" s="452"/>
      <c r="C15" s="204" t="s">
        <v>131</v>
      </c>
      <c r="D15" s="148">
        <v>300</v>
      </c>
      <c r="E15" s="148">
        <v>369</v>
      </c>
      <c r="F15" s="148">
        <v>402</v>
      </c>
      <c r="G15" s="148">
        <v>471</v>
      </c>
      <c r="H15" s="148">
        <v>600</v>
      </c>
      <c r="I15" s="148">
        <v>690</v>
      </c>
      <c r="J15" s="83"/>
      <c r="K15" s="74"/>
    </row>
    <row r="16" spans="1:11" s="74" customFormat="1" ht="35.1" customHeight="1" x14ac:dyDescent="0.25">
      <c r="A16" s="451"/>
      <c r="B16" s="452"/>
      <c r="C16" s="204" t="s">
        <v>168</v>
      </c>
      <c r="D16" s="148">
        <v>400</v>
      </c>
      <c r="E16" s="148">
        <v>492</v>
      </c>
      <c r="F16" s="148">
        <v>536</v>
      </c>
      <c r="G16" s="148">
        <v>628</v>
      </c>
      <c r="H16" s="148">
        <v>800</v>
      </c>
      <c r="I16" s="148">
        <v>920</v>
      </c>
      <c r="J16" s="83"/>
    </row>
    <row r="17" spans="1:11" s="74" customFormat="1" ht="35.1" customHeight="1" x14ac:dyDescent="0.25">
      <c r="A17" s="451"/>
      <c r="B17" s="452"/>
      <c r="C17" s="204" t="s">
        <v>169</v>
      </c>
      <c r="D17" s="148">
        <v>513</v>
      </c>
      <c r="E17" s="148">
        <v>630</v>
      </c>
      <c r="F17" s="148">
        <v>687</v>
      </c>
      <c r="G17" s="148">
        <v>805</v>
      </c>
      <c r="H17" s="148">
        <v>1025</v>
      </c>
      <c r="I17" s="148">
        <v>1179</v>
      </c>
      <c r="J17" s="83"/>
    </row>
    <row r="18" spans="1:11" s="74" customFormat="1" ht="35.1" customHeight="1" x14ac:dyDescent="0.25">
      <c r="A18" s="451"/>
      <c r="B18" s="452"/>
      <c r="C18" s="204" t="s">
        <v>170</v>
      </c>
      <c r="D18" s="148">
        <v>625</v>
      </c>
      <c r="E18" s="148">
        <v>769</v>
      </c>
      <c r="F18" s="148">
        <v>838</v>
      </c>
      <c r="G18" s="148">
        <v>981</v>
      </c>
      <c r="H18" s="148">
        <v>1250</v>
      </c>
      <c r="I18" s="148">
        <v>1438</v>
      </c>
      <c r="J18" s="83"/>
    </row>
    <row r="19" spans="1:11" s="74" customFormat="1" ht="35.1" customHeight="1" x14ac:dyDescent="0.25">
      <c r="A19" s="453"/>
      <c r="B19" s="454"/>
      <c r="C19" s="204" t="s">
        <v>420</v>
      </c>
      <c r="D19" s="148">
        <v>725</v>
      </c>
      <c r="E19" s="148">
        <v>869</v>
      </c>
      <c r="F19" s="148">
        <v>938</v>
      </c>
      <c r="G19" s="148">
        <v>1081</v>
      </c>
      <c r="H19" s="148">
        <v>1350</v>
      </c>
      <c r="I19" s="148">
        <v>1538</v>
      </c>
      <c r="J19" s="83"/>
    </row>
    <row r="20" spans="1:11" s="74" customFormat="1" ht="9.9499999999999993" customHeight="1" x14ac:dyDescent="0.25">
      <c r="A20" s="458"/>
      <c r="B20" s="458"/>
      <c r="C20" s="458"/>
      <c r="D20" s="458"/>
      <c r="E20" s="458"/>
      <c r="F20" s="458"/>
      <c r="G20" s="458"/>
      <c r="H20" s="458"/>
      <c r="I20" s="458"/>
      <c r="J20" s="83"/>
    </row>
    <row r="21" spans="1:11" s="74" customFormat="1" ht="35.1" customHeight="1" x14ac:dyDescent="0.25">
      <c r="A21" s="449" t="s">
        <v>291</v>
      </c>
      <c r="B21" s="450"/>
      <c r="C21" s="204" t="s">
        <v>167</v>
      </c>
      <c r="D21" s="148">
        <v>660</v>
      </c>
      <c r="E21" s="148">
        <v>706</v>
      </c>
      <c r="F21" s="148">
        <v>728</v>
      </c>
      <c r="G21" s="148">
        <v>774</v>
      </c>
      <c r="H21" s="148">
        <v>860</v>
      </c>
      <c r="I21" s="148">
        <v>920</v>
      </c>
      <c r="J21" s="83"/>
      <c r="K21" s="24"/>
    </row>
    <row r="22" spans="1:11" s="74" customFormat="1" ht="35.1" customHeight="1" x14ac:dyDescent="0.25">
      <c r="A22" s="451"/>
      <c r="B22" s="452"/>
      <c r="C22" s="204" t="s">
        <v>131</v>
      </c>
      <c r="D22" s="148">
        <v>760</v>
      </c>
      <c r="E22" s="148">
        <v>829</v>
      </c>
      <c r="F22" s="148">
        <v>862</v>
      </c>
      <c r="G22" s="148">
        <v>931</v>
      </c>
      <c r="H22" s="148">
        <v>1060</v>
      </c>
      <c r="I22" s="148">
        <v>1150</v>
      </c>
      <c r="J22" s="83"/>
      <c r="K22" s="24"/>
    </row>
    <row r="23" spans="1:11" s="74" customFormat="1" ht="35.1" customHeight="1" x14ac:dyDescent="0.25">
      <c r="A23" s="451"/>
      <c r="B23" s="452"/>
      <c r="C23" s="204" t="s">
        <v>168</v>
      </c>
      <c r="D23" s="148">
        <v>860</v>
      </c>
      <c r="E23" s="148">
        <v>952</v>
      </c>
      <c r="F23" s="148">
        <v>996</v>
      </c>
      <c r="G23" s="148">
        <v>1088</v>
      </c>
      <c r="H23" s="148">
        <v>1260</v>
      </c>
      <c r="I23" s="148">
        <v>1380</v>
      </c>
      <c r="J23" s="83"/>
      <c r="K23" s="24"/>
    </row>
    <row r="24" spans="1:11" s="74" customFormat="1" ht="35.1" customHeight="1" x14ac:dyDescent="0.25">
      <c r="A24" s="451"/>
      <c r="B24" s="452"/>
      <c r="C24" s="204" t="s">
        <v>169</v>
      </c>
      <c r="D24" s="148">
        <v>973</v>
      </c>
      <c r="E24" s="148">
        <v>1090</v>
      </c>
      <c r="F24" s="148">
        <v>1147</v>
      </c>
      <c r="G24" s="148">
        <v>1265</v>
      </c>
      <c r="H24" s="148">
        <v>1485</v>
      </c>
      <c r="I24" s="148">
        <v>1639</v>
      </c>
      <c r="J24" s="83"/>
      <c r="K24" s="24"/>
    </row>
    <row r="25" spans="1:11" s="74" customFormat="1" ht="35.1" customHeight="1" x14ac:dyDescent="0.25">
      <c r="A25" s="451"/>
      <c r="B25" s="452"/>
      <c r="C25" s="204" t="s">
        <v>170</v>
      </c>
      <c r="D25" s="148">
        <v>1085</v>
      </c>
      <c r="E25" s="148">
        <v>1229</v>
      </c>
      <c r="F25" s="148">
        <v>1298</v>
      </c>
      <c r="G25" s="148">
        <v>1441</v>
      </c>
      <c r="H25" s="148">
        <v>1710</v>
      </c>
      <c r="I25" s="148">
        <v>1898</v>
      </c>
      <c r="J25" s="83"/>
      <c r="K25" s="24"/>
    </row>
    <row r="26" spans="1:11" s="74" customFormat="1" ht="35.1" customHeight="1" x14ac:dyDescent="0.25">
      <c r="A26" s="453"/>
      <c r="B26" s="454"/>
      <c r="C26" s="204" t="s">
        <v>420</v>
      </c>
      <c r="D26" s="148">
        <v>1185</v>
      </c>
      <c r="E26" s="148">
        <v>1329</v>
      </c>
      <c r="F26" s="148">
        <v>1398</v>
      </c>
      <c r="G26" s="148">
        <v>1541</v>
      </c>
      <c r="H26" s="148">
        <v>1810</v>
      </c>
      <c r="I26" s="148">
        <v>1998</v>
      </c>
      <c r="J26" s="83"/>
      <c r="K26" s="24"/>
    </row>
    <row r="27" spans="1:11" s="74" customFormat="1" ht="9.9499999999999993" customHeight="1" x14ac:dyDescent="0.25">
      <c r="A27" s="458"/>
      <c r="B27" s="458"/>
      <c r="C27" s="458"/>
      <c r="D27" s="458"/>
      <c r="E27" s="458"/>
      <c r="F27" s="458"/>
      <c r="G27" s="458"/>
      <c r="H27" s="458"/>
      <c r="I27" s="458"/>
      <c r="J27" s="83"/>
    </row>
    <row r="28" spans="1:11" s="74" customFormat="1" ht="35.1" customHeight="1" x14ac:dyDescent="0.25">
      <c r="A28" s="449" t="s">
        <v>141</v>
      </c>
      <c r="B28" s="450"/>
      <c r="C28" s="204" t="s">
        <v>171</v>
      </c>
      <c r="D28" s="148">
        <v>320</v>
      </c>
      <c r="E28" s="148">
        <v>412</v>
      </c>
      <c r="F28" s="148">
        <v>456</v>
      </c>
      <c r="G28" s="148">
        <v>548</v>
      </c>
      <c r="H28" s="148">
        <v>800</v>
      </c>
      <c r="I28" s="148">
        <v>920</v>
      </c>
      <c r="J28" s="83"/>
    </row>
    <row r="29" spans="1:11" s="74" customFormat="1" ht="35.1" customHeight="1" x14ac:dyDescent="0.25">
      <c r="A29" s="451"/>
      <c r="B29" s="452"/>
      <c r="C29" s="204" t="s">
        <v>137</v>
      </c>
      <c r="D29" s="148">
        <v>480</v>
      </c>
      <c r="E29" s="148">
        <v>618</v>
      </c>
      <c r="F29" s="148">
        <v>684</v>
      </c>
      <c r="G29" s="148">
        <v>822</v>
      </c>
      <c r="H29" s="148">
        <v>1200</v>
      </c>
      <c r="I29" s="148">
        <v>1380</v>
      </c>
      <c r="J29" s="83"/>
    </row>
    <row r="30" spans="1:11" ht="35.1" customHeight="1" x14ac:dyDescent="0.25">
      <c r="A30" s="451"/>
      <c r="B30" s="452"/>
      <c r="C30" s="204" t="s">
        <v>172</v>
      </c>
      <c r="D30" s="148">
        <v>640</v>
      </c>
      <c r="E30" s="148">
        <v>824</v>
      </c>
      <c r="F30" s="148">
        <v>912</v>
      </c>
      <c r="G30" s="148">
        <v>1096</v>
      </c>
      <c r="H30" s="148">
        <v>1600</v>
      </c>
      <c r="I30" s="148">
        <v>1840</v>
      </c>
      <c r="J30" s="83"/>
      <c r="K30" s="74"/>
    </row>
    <row r="31" spans="1:11" s="74" customFormat="1" ht="35.1" customHeight="1" x14ac:dyDescent="0.25">
      <c r="A31" s="451"/>
      <c r="B31" s="452"/>
      <c r="C31" s="204" t="s">
        <v>173</v>
      </c>
      <c r="D31" s="148">
        <v>820</v>
      </c>
      <c r="E31" s="148">
        <v>1056</v>
      </c>
      <c r="F31" s="148">
        <v>1169</v>
      </c>
      <c r="G31" s="148">
        <v>1404</v>
      </c>
      <c r="H31" s="148">
        <v>2050</v>
      </c>
      <c r="I31" s="148">
        <v>2358</v>
      </c>
      <c r="J31" s="83"/>
    </row>
    <row r="32" spans="1:11" s="74" customFormat="1" ht="35.1" customHeight="1" x14ac:dyDescent="0.25">
      <c r="A32" s="451"/>
      <c r="B32" s="452"/>
      <c r="C32" s="204" t="s">
        <v>174</v>
      </c>
      <c r="D32" s="148">
        <v>1000</v>
      </c>
      <c r="E32" s="148">
        <v>1288</v>
      </c>
      <c r="F32" s="148">
        <v>1425</v>
      </c>
      <c r="G32" s="148">
        <v>1713</v>
      </c>
      <c r="H32" s="148">
        <v>2500</v>
      </c>
      <c r="I32" s="148">
        <v>2875</v>
      </c>
      <c r="J32" s="83"/>
    </row>
    <row r="33" spans="1:11" s="74" customFormat="1" ht="35.1" customHeight="1" x14ac:dyDescent="0.25">
      <c r="A33" s="453"/>
      <c r="B33" s="454"/>
      <c r="C33" s="204" t="s">
        <v>421</v>
      </c>
      <c r="D33" s="148">
        <v>1160</v>
      </c>
      <c r="E33" s="148">
        <v>1448</v>
      </c>
      <c r="F33" s="148">
        <v>1585</v>
      </c>
      <c r="G33" s="148">
        <v>1873</v>
      </c>
      <c r="H33" s="148">
        <v>2660</v>
      </c>
      <c r="I33" s="148">
        <v>3035</v>
      </c>
      <c r="J33" s="83"/>
    </row>
    <row r="34" spans="1:11" s="74" customFormat="1" ht="9.9499999999999993" customHeight="1" x14ac:dyDescent="0.25">
      <c r="A34" s="458"/>
      <c r="B34" s="458"/>
      <c r="C34" s="458"/>
      <c r="D34" s="458"/>
      <c r="E34" s="458"/>
      <c r="F34" s="458"/>
      <c r="G34" s="458"/>
      <c r="H34" s="458"/>
      <c r="I34" s="458"/>
      <c r="J34" s="83"/>
    </row>
    <row r="35" spans="1:11" s="74" customFormat="1" ht="35.1" customHeight="1" x14ac:dyDescent="0.25">
      <c r="A35" s="449" t="s">
        <v>290</v>
      </c>
      <c r="B35" s="450"/>
      <c r="C35" s="204" t="s">
        <v>171</v>
      </c>
      <c r="D35" s="148">
        <v>1010</v>
      </c>
      <c r="E35" s="148">
        <v>1102</v>
      </c>
      <c r="F35" s="148">
        <v>1146</v>
      </c>
      <c r="G35" s="148">
        <v>1238</v>
      </c>
      <c r="H35" s="148">
        <v>1490</v>
      </c>
      <c r="I35" s="148">
        <v>1610</v>
      </c>
      <c r="J35" s="83"/>
    </row>
    <row r="36" spans="1:11" s="74" customFormat="1" ht="35.1" customHeight="1" x14ac:dyDescent="0.25">
      <c r="A36" s="451"/>
      <c r="B36" s="452"/>
      <c r="C36" s="204" t="s">
        <v>137</v>
      </c>
      <c r="D36" s="148">
        <v>1170</v>
      </c>
      <c r="E36" s="148">
        <v>1308</v>
      </c>
      <c r="F36" s="148">
        <v>1374</v>
      </c>
      <c r="G36" s="148">
        <v>1512</v>
      </c>
      <c r="H36" s="148">
        <v>1890</v>
      </c>
      <c r="I36" s="148">
        <v>2070</v>
      </c>
      <c r="J36" s="83"/>
    </row>
    <row r="37" spans="1:11" ht="35.1" customHeight="1" x14ac:dyDescent="0.25">
      <c r="A37" s="451"/>
      <c r="B37" s="452"/>
      <c r="C37" s="204" t="s">
        <v>172</v>
      </c>
      <c r="D37" s="148">
        <v>1330</v>
      </c>
      <c r="E37" s="148">
        <v>1514</v>
      </c>
      <c r="F37" s="148">
        <v>1602</v>
      </c>
      <c r="G37" s="148">
        <v>1786</v>
      </c>
      <c r="H37" s="148">
        <v>2290</v>
      </c>
      <c r="I37" s="148">
        <v>2530</v>
      </c>
      <c r="J37" s="83"/>
      <c r="K37" s="74"/>
    </row>
    <row r="38" spans="1:11" s="74" customFormat="1" ht="35.1" customHeight="1" x14ac:dyDescent="0.25">
      <c r="A38" s="451"/>
      <c r="B38" s="452"/>
      <c r="C38" s="204" t="s">
        <v>173</v>
      </c>
      <c r="D38" s="148">
        <v>1510</v>
      </c>
      <c r="E38" s="148">
        <v>1746</v>
      </c>
      <c r="F38" s="148">
        <v>1859</v>
      </c>
      <c r="G38" s="148">
        <v>2094</v>
      </c>
      <c r="H38" s="148">
        <v>2740</v>
      </c>
      <c r="I38" s="148">
        <v>3048</v>
      </c>
      <c r="J38" s="83"/>
    </row>
    <row r="39" spans="1:11" s="74" customFormat="1" ht="35.1" customHeight="1" x14ac:dyDescent="0.25">
      <c r="A39" s="451"/>
      <c r="B39" s="452"/>
      <c r="C39" s="204" t="s">
        <v>174</v>
      </c>
      <c r="D39" s="148">
        <v>1690</v>
      </c>
      <c r="E39" s="148">
        <v>1978</v>
      </c>
      <c r="F39" s="148">
        <v>2115</v>
      </c>
      <c r="G39" s="148">
        <v>2403</v>
      </c>
      <c r="H39" s="148">
        <v>3190</v>
      </c>
      <c r="I39" s="148">
        <v>3565</v>
      </c>
      <c r="J39" s="83"/>
    </row>
    <row r="40" spans="1:11" s="74" customFormat="1" ht="35.1" customHeight="1" x14ac:dyDescent="0.25">
      <c r="A40" s="453"/>
      <c r="B40" s="454"/>
      <c r="C40" s="204" t="s">
        <v>421</v>
      </c>
      <c r="D40" s="148">
        <v>1850</v>
      </c>
      <c r="E40" s="148">
        <v>2138</v>
      </c>
      <c r="F40" s="148">
        <v>2275</v>
      </c>
      <c r="G40" s="148">
        <v>2563</v>
      </c>
      <c r="H40" s="148">
        <v>3350</v>
      </c>
      <c r="I40" s="148">
        <v>3725</v>
      </c>
      <c r="J40" s="83"/>
    </row>
    <row r="41" spans="1:11" s="74" customFormat="1" ht="9.9499999999999993" customHeight="1" x14ac:dyDescent="0.4">
      <c r="A41" s="458"/>
      <c r="B41" s="458"/>
      <c r="C41" s="458"/>
      <c r="D41" s="458"/>
      <c r="E41" s="458"/>
      <c r="F41" s="458"/>
      <c r="G41" s="458"/>
      <c r="H41" s="458"/>
      <c r="I41" s="458"/>
      <c r="J41" s="82"/>
      <c r="K41"/>
    </row>
    <row r="42" spans="1:11" s="74" customFormat="1" ht="35.1" customHeight="1" x14ac:dyDescent="0.25">
      <c r="A42" s="449" t="s">
        <v>292</v>
      </c>
      <c r="B42" s="450"/>
      <c r="C42" s="204" t="s">
        <v>300</v>
      </c>
      <c r="D42" s="148">
        <v>1200</v>
      </c>
      <c r="E42" s="148">
        <v>1300</v>
      </c>
      <c r="F42" s="148">
        <v>1420</v>
      </c>
      <c r="G42" s="148">
        <v>1600</v>
      </c>
      <c r="H42" s="148">
        <v>1690</v>
      </c>
      <c r="I42" s="148">
        <v>1794</v>
      </c>
      <c r="J42" s="83"/>
    </row>
    <row r="43" spans="1:11" s="74" customFormat="1" ht="35.1" customHeight="1" x14ac:dyDescent="0.25">
      <c r="A43" s="451"/>
      <c r="B43" s="452"/>
      <c r="C43" s="204" t="s">
        <v>301</v>
      </c>
      <c r="D43" s="148">
        <v>1430</v>
      </c>
      <c r="E43" s="148">
        <v>1700</v>
      </c>
      <c r="F43" s="148">
        <v>1790</v>
      </c>
      <c r="G43" s="148">
        <v>2060</v>
      </c>
      <c r="H43" s="148">
        <v>2210</v>
      </c>
      <c r="I43" s="148">
        <v>2516</v>
      </c>
      <c r="J43" s="83"/>
    </row>
    <row r="44" spans="1:11" ht="35.1" customHeight="1" x14ac:dyDescent="0.25">
      <c r="A44" s="451"/>
      <c r="B44" s="452"/>
      <c r="C44" s="204" t="s">
        <v>302</v>
      </c>
      <c r="D44" s="148">
        <v>1860</v>
      </c>
      <c r="E44" s="148">
        <v>2120</v>
      </c>
      <c r="F44" s="148">
        <v>2240</v>
      </c>
      <c r="G44" s="148">
        <v>2500</v>
      </c>
      <c r="H44" s="148">
        <v>3070</v>
      </c>
      <c r="I44" s="148">
        <v>3478</v>
      </c>
      <c r="J44" s="83"/>
      <c r="K44" s="74"/>
    </row>
    <row r="45" spans="1:11" s="74" customFormat="1" ht="35.1" customHeight="1" x14ac:dyDescent="0.25">
      <c r="A45" s="451"/>
      <c r="B45" s="452"/>
      <c r="C45" s="204" t="s">
        <v>303</v>
      </c>
      <c r="D45" s="148">
        <v>2140</v>
      </c>
      <c r="E45" s="148">
        <v>2540</v>
      </c>
      <c r="F45" s="148">
        <v>2692</v>
      </c>
      <c r="G45" s="148">
        <v>3092</v>
      </c>
      <c r="H45" s="148">
        <v>3630</v>
      </c>
      <c r="I45" s="148">
        <v>3805</v>
      </c>
      <c r="J45" s="83"/>
    </row>
    <row r="46" spans="1:11" s="74" customFormat="1" ht="35.1" customHeight="1" x14ac:dyDescent="0.25">
      <c r="A46" s="451"/>
      <c r="B46" s="452"/>
      <c r="C46" s="204" t="s">
        <v>304</v>
      </c>
      <c r="D46" s="148">
        <v>2450</v>
      </c>
      <c r="E46" s="148">
        <v>2960</v>
      </c>
      <c r="F46" s="148">
        <v>3148</v>
      </c>
      <c r="G46" s="148">
        <v>3658</v>
      </c>
      <c r="H46" s="148">
        <v>4250</v>
      </c>
      <c r="I46" s="148">
        <v>4889</v>
      </c>
      <c r="J46" s="83"/>
    </row>
    <row r="47" spans="1:11" s="74" customFormat="1" ht="35.1" customHeight="1" x14ac:dyDescent="0.25">
      <c r="A47" s="453"/>
      <c r="B47" s="454"/>
      <c r="C47" s="204" t="s">
        <v>422</v>
      </c>
      <c r="D47" s="148">
        <v>2690</v>
      </c>
      <c r="E47" s="148">
        <v>3200</v>
      </c>
      <c r="F47" s="148">
        <v>3388</v>
      </c>
      <c r="G47" s="148">
        <v>3898</v>
      </c>
      <c r="H47" s="148">
        <v>4490</v>
      </c>
      <c r="I47" s="148">
        <v>5129</v>
      </c>
      <c r="J47" s="83"/>
    </row>
    <row r="48" spans="1:11" s="74" customFormat="1" ht="9.9499999999999993" customHeight="1" x14ac:dyDescent="0.4">
      <c r="A48" s="458"/>
      <c r="B48" s="458"/>
      <c r="C48" s="458"/>
      <c r="D48" s="458"/>
      <c r="E48" s="458"/>
      <c r="F48" s="458"/>
      <c r="G48" s="458"/>
      <c r="H48" s="458"/>
      <c r="I48" s="458"/>
      <c r="J48" s="82"/>
      <c r="K48"/>
    </row>
    <row r="49" spans="1:11" s="74" customFormat="1" ht="35.1" customHeight="1" x14ac:dyDescent="0.25">
      <c r="A49" s="449" t="s">
        <v>293</v>
      </c>
      <c r="B49" s="450"/>
      <c r="C49" s="204" t="s">
        <v>171</v>
      </c>
      <c r="D49" s="148">
        <v>1650</v>
      </c>
      <c r="E49" s="148">
        <v>1800</v>
      </c>
      <c r="F49" s="148">
        <v>1840</v>
      </c>
      <c r="G49" s="148">
        <v>1990</v>
      </c>
      <c r="H49" s="148">
        <v>2920</v>
      </c>
      <c r="I49" s="148">
        <v>3056</v>
      </c>
      <c r="J49" s="83"/>
    </row>
    <row r="50" spans="1:11" s="74" customFormat="1" ht="35.1" customHeight="1" x14ac:dyDescent="0.25">
      <c r="A50" s="451"/>
      <c r="B50" s="452"/>
      <c r="C50" s="204" t="s">
        <v>137</v>
      </c>
      <c r="D50" s="148">
        <v>1900</v>
      </c>
      <c r="E50" s="148">
        <v>2080</v>
      </c>
      <c r="F50" s="148">
        <v>2140</v>
      </c>
      <c r="G50" s="148">
        <v>2320</v>
      </c>
      <c r="H50" s="148">
        <v>3420</v>
      </c>
      <c r="I50" s="148">
        <v>3624</v>
      </c>
      <c r="J50" s="83"/>
    </row>
    <row r="51" spans="1:11" ht="35.1" customHeight="1" x14ac:dyDescent="0.25">
      <c r="A51" s="451"/>
      <c r="B51" s="452"/>
      <c r="C51" s="204" t="s">
        <v>172</v>
      </c>
      <c r="D51" s="148">
        <v>2180</v>
      </c>
      <c r="E51" s="148">
        <v>2380</v>
      </c>
      <c r="F51" s="148">
        <v>2460</v>
      </c>
      <c r="G51" s="148">
        <v>2660</v>
      </c>
      <c r="H51" s="148">
        <v>3980</v>
      </c>
      <c r="I51" s="148">
        <v>4252</v>
      </c>
      <c r="J51" s="83"/>
      <c r="K51" s="74"/>
    </row>
    <row r="52" spans="1:11" s="23" customFormat="1" ht="35.1" customHeight="1" x14ac:dyDescent="0.25">
      <c r="A52" s="451"/>
      <c r="B52" s="452"/>
      <c r="C52" s="204" t="s">
        <v>173</v>
      </c>
      <c r="D52" s="148">
        <v>2440</v>
      </c>
      <c r="E52" s="148">
        <v>2640</v>
      </c>
      <c r="F52" s="148">
        <v>2743</v>
      </c>
      <c r="G52" s="148">
        <v>2943</v>
      </c>
      <c r="H52" s="148">
        <v>4500</v>
      </c>
      <c r="I52" s="148">
        <v>4849</v>
      </c>
      <c r="J52" s="83"/>
      <c r="K52" s="74"/>
    </row>
    <row r="53" spans="1:11" ht="35.1" customHeight="1" x14ac:dyDescent="0.25">
      <c r="A53" s="451"/>
      <c r="B53" s="452"/>
      <c r="C53" s="204" t="s">
        <v>174</v>
      </c>
      <c r="D53" s="148">
        <v>2670</v>
      </c>
      <c r="E53" s="148">
        <v>2920</v>
      </c>
      <c r="F53" s="148">
        <v>3045</v>
      </c>
      <c r="G53" s="148">
        <v>3295</v>
      </c>
      <c r="H53" s="148">
        <v>4960</v>
      </c>
      <c r="I53" s="148">
        <v>5385</v>
      </c>
      <c r="J53" s="83"/>
      <c r="K53" s="74"/>
    </row>
    <row r="54" spans="1:11" ht="35.1" customHeight="1" x14ac:dyDescent="0.25">
      <c r="A54" s="453"/>
      <c r="B54" s="454"/>
      <c r="C54" s="204" t="s">
        <v>421</v>
      </c>
      <c r="D54" s="148">
        <v>2830</v>
      </c>
      <c r="E54" s="148">
        <v>3080</v>
      </c>
      <c r="F54" s="148">
        <v>3205</v>
      </c>
      <c r="G54" s="148">
        <v>3455</v>
      </c>
      <c r="H54" s="148">
        <v>5120</v>
      </c>
      <c r="I54" s="148">
        <v>5545</v>
      </c>
      <c r="J54" s="83"/>
      <c r="K54" s="74"/>
    </row>
    <row r="55" spans="1:11" ht="9.9499999999999993" customHeight="1" x14ac:dyDescent="0.4">
      <c r="A55" s="458"/>
      <c r="B55" s="458"/>
      <c r="C55" s="458"/>
      <c r="D55" s="458"/>
      <c r="E55" s="458"/>
      <c r="F55" s="458"/>
      <c r="G55" s="458"/>
      <c r="H55" s="458"/>
      <c r="I55" s="458"/>
      <c r="J55" s="82"/>
    </row>
    <row r="56" spans="1:11" ht="35.1" customHeight="1" x14ac:dyDescent="0.25">
      <c r="A56" s="449" t="s">
        <v>294</v>
      </c>
      <c r="B56" s="450"/>
      <c r="C56" s="204" t="s">
        <v>300</v>
      </c>
      <c r="D56" s="148">
        <v>2300</v>
      </c>
      <c r="E56" s="148">
        <v>2500</v>
      </c>
      <c r="F56" s="148">
        <v>2560</v>
      </c>
      <c r="G56" s="148">
        <v>2760</v>
      </c>
      <c r="H56" s="148">
        <v>3294</v>
      </c>
      <c r="I56" s="148">
        <v>3498</v>
      </c>
      <c r="J56" s="83"/>
      <c r="K56" s="74"/>
    </row>
    <row r="57" spans="1:11" s="74" customFormat="1" ht="35.1" customHeight="1" x14ac:dyDescent="0.25">
      <c r="A57" s="451"/>
      <c r="B57" s="452"/>
      <c r="C57" s="204" t="s">
        <v>301</v>
      </c>
      <c r="D57" s="148">
        <v>2550</v>
      </c>
      <c r="E57" s="148">
        <v>2850</v>
      </c>
      <c r="F57" s="148">
        <v>2940</v>
      </c>
      <c r="G57" s="148">
        <v>3240</v>
      </c>
      <c r="H57" s="148">
        <v>3794</v>
      </c>
      <c r="I57" s="148">
        <v>4100</v>
      </c>
      <c r="J57" s="83"/>
    </row>
    <row r="58" spans="1:11" s="74" customFormat="1" ht="35.1" customHeight="1" x14ac:dyDescent="0.25">
      <c r="A58" s="451"/>
      <c r="B58" s="452"/>
      <c r="C58" s="204" t="s">
        <v>302</v>
      </c>
      <c r="D58" s="148">
        <v>3100</v>
      </c>
      <c r="E58" s="148">
        <v>3400</v>
      </c>
      <c r="F58" s="148">
        <v>3520</v>
      </c>
      <c r="G58" s="148">
        <v>3820</v>
      </c>
      <c r="H58" s="148">
        <v>4894</v>
      </c>
      <c r="I58" s="148">
        <v>5302</v>
      </c>
      <c r="J58" s="83"/>
    </row>
    <row r="59" spans="1:11" s="74" customFormat="1" ht="35.1" customHeight="1" x14ac:dyDescent="0.25">
      <c r="A59" s="451"/>
      <c r="B59" s="452"/>
      <c r="C59" s="204" t="s">
        <v>303</v>
      </c>
      <c r="D59" s="148">
        <v>3600</v>
      </c>
      <c r="E59" s="148">
        <v>3900</v>
      </c>
      <c r="F59" s="148">
        <v>4054</v>
      </c>
      <c r="G59" s="148">
        <v>4354</v>
      </c>
      <c r="H59" s="148">
        <v>5894</v>
      </c>
      <c r="I59" s="148">
        <v>6417</v>
      </c>
      <c r="J59" s="83"/>
    </row>
    <row r="60" spans="1:11" s="74" customFormat="1" ht="35.1" customHeight="1" x14ac:dyDescent="0.25">
      <c r="A60" s="451"/>
      <c r="B60" s="452"/>
      <c r="C60" s="204" t="s">
        <v>304</v>
      </c>
      <c r="D60" s="148">
        <v>4000</v>
      </c>
      <c r="E60" s="148">
        <v>4300</v>
      </c>
      <c r="F60" s="148">
        <v>4489</v>
      </c>
      <c r="G60" s="148">
        <v>4789</v>
      </c>
      <c r="H60" s="148">
        <v>6694</v>
      </c>
      <c r="I60" s="148">
        <v>7332</v>
      </c>
      <c r="J60" s="83"/>
    </row>
    <row r="61" spans="1:11" s="74" customFormat="1" ht="35.1" customHeight="1" x14ac:dyDescent="0.25">
      <c r="A61" s="453"/>
      <c r="B61" s="454"/>
      <c r="C61" s="204" t="s">
        <v>422</v>
      </c>
      <c r="D61" s="148">
        <f>D60+240</f>
        <v>4240</v>
      </c>
      <c r="E61" s="148">
        <f t="shared" ref="E61:I61" si="0">E60+240</f>
        <v>4540</v>
      </c>
      <c r="F61" s="148">
        <f t="shared" si="0"/>
        <v>4729</v>
      </c>
      <c r="G61" s="148">
        <f t="shared" si="0"/>
        <v>5029</v>
      </c>
      <c r="H61" s="148">
        <f t="shared" si="0"/>
        <v>6934</v>
      </c>
      <c r="I61" s="148">
        <f t="shared" si="0"/>
        <v>7572</v>
      </c>
      <c r="J61" s="83"/>
    </row>
    <row r="62" spans="1:11" s="74" customFormat="1" ht="35.1" customHeight="1" x14ac:dyDescent="0.4">
      <c r="A62" s="459"/>
      <c r="B62" s="459"/>
      <c r="C62" s="459"/>
      <c r="D62" s="459"/>
      <c r="E62" s="459"/>
      <c r="F62" s="459"/>
      <c r="G62" s="459"/>
      <c r="H62" s="459"/>
      <c r="I62" s="459"/>
      <c r="J62" s="82"/>
      <c r="K62"/>
    </row>
    <row r="63" spans="1:11" ht="35.1" customHeight="1" x14ac:dyDescent="0.45">
      <c r="A63" s="460" t="s">
        <v>128</v>
      </c>
      <c r="B63" s="460"/>
      <c r="C63" s="460"/>
      <c r="D63" s="460"/>
      <c r="E63" s="460"/>
      <c r="F63" s="460"/>
      <c r="G63" s="460"/>
      <c r="H63" s="460"/>
      <c r="I63" s="460"/>
      <c r="J63" s="3"/>
    </row>
    <row r="64" spans="1:11" ht="35.1" customHeight="1" x14ac:dyDescent="0.4">
      <c r="A64" s="461"/>
      <c r="B64" s="462"/>
      <c r="C64" s="418" t="s">
        <v>107</v>
      </c>
      <c r="D64" s="418"/>
      <c r="E64" s="465" t="s">
        <v>13</v>
      </c>
      <c r="F64" s="465"/>
      <c r="G64" s="465"/>
      <c r="H64" s="465" t="s">
        <v>108</v>
      </c>
      <c r="I64" s="465"/>
      <c r="J64" s="3"/>
    </row>
    <row r="65" spans="1:13" ht="35.1" customHeight="1" x14ac:dyDescent="0.4">
      <c r="A65" s="463"/>
      <c r="B65" s="464"/>
      <c r="C65" s="418"/>
      <c r="D65" s="418"/>
      <c r="E65" s="466" t="s">
        <v>118</v>
      </c>
      <c r="F65" s="466"/>
      <c r="G65" s="206" t="s">
        <v>117</v>
      </c>
      <c r="H65" s="85" t="s">
        <v>118</v>
      </c>
      <c r="I65" s="206" t="s">
        <v>127</v>
      </c>
      <c r="J65" s="3"/>
    </row>
    <row r="66" spans="1:13" ht="35.1" customHeight="1" x14ac:dyDescent="0.4">
      <c r="A66" s="467" t="s">
        <v>126</v>
      </c>
      <c r="B66" s="468"/>
      <c r="C66" s="416" t="s">
        <v>388</v>
      </c>
      <c r="D66" s="416"/>
      <c r="E66" s="469">
        <v>1900</v>
      </c>
      <c r="F66" s="469"/>
      <c r="G66" s="203">
        <v>2350</v>
      </c>
      <c r="H66" s="87">
        <v>3300</v>
      </c>
      <c r="I66" s="87">
        <v>3750</v>
      </c>
      <c r="J66" s="3"/>
    </row>
    <row r="67" spans="1:13" ht="35.1" customHeight="1" x14ac:dyDescent="0.4">
      <c r="A67" s="467" t="s">
        <v>125</v>
      </c>
      <c r="B67" s="468"/>
      <c r="C67" s="416" t="s">
        <v>389</v>
      </c>
      <c r="D67" s="416"/>
      <c r="E67" s="469">
        <v>1500</v>
      </c>
      <c r="F67" s="469"/>
      <c r="G67" s="203">
        <v>1950</v>
      </c>
      <c r="H67" s="87">
        <v>1850</v>
      </c>
      <c r="I67" s="87">
        <v>2100</v>
      </c>
      <c r="J67" s="3"/>
    </row>
    <row r="68" spans="1:13" ht="35.1" customHeight="1" x14ac:dyDescent="0.4">
      <c r="A68" s="78"/>
      <c r="B68" s="210"/>
      <c r="C68" s="201"/>
      <c r="D68" s="201"/>
      <c r="E68" s="201"/>
      <c r="F68" s="201"/>
      <c r="G68" s="80"/>
      <c r="H68" s="3"/>
      <c r="I68" s="3"/>
      <c r="J68" s="3"/>
    </row>
    <row r="69" spans="1:13" ht="35.1" customHeight="1" x14ac:dyDescent="0.4">
      <c r="A69" s="470" t="s">
        <v>226</v>
      </c>
      <c r="B69" s="470"/>
      <c r="C69" s="470"/>
      <c r="D69" s="470"/>
      <c r="E69" s="470"/>
      <c r="F69" s="470"/>
      <c r="G69" s="470"/>
      <c r="H69" s="470"/>
      <c r="I69" s="470"/>
      <c r="J69" s="3"/>
    </row>
    <row r="70" spans="1:13" ht="35.1" customHeight="1" x14ac:dyDescent="0.4">
      <c r="A70" s="461"/>
      <c r="B70" s="462"/>
      <c r="C70" s="418" t="s">
        <v>107</v>
      </c>
      <c r="D70" s="418"/>
      <c r="E70" s="465" t="s">
        <v>13</v>
      </c>
      <c r="F70" s="465"/>
      <c r="G70" s="465"/>
      <c r="H70" s="465" t="s">
        <v>108</v>
      </c>
      <c r="I70" s="465"/>
      <c r="J70" s="3"/>
    </row>
    <row r="71" spans="1:13" ht="35.1" customHeight="1" x14ac:dyDescent="0.4">
      <c r="A71" s="463"/>
      <c r="B71" s="464"/>
      <c r="C71" s="418"/>
      <c r="D71" s="418"/>
      <c r="E71" s="466" t="s">
        <v>118</v>
      </c>
      <c r="F71" s="466"/>
      <c r="G71" s="206" t="s">
        <v>117</v>
      </c>
      <c r="H71" s="85" t="s">
        <v>118</v>
      </c>
      <c r="I71" s="206" t="s">
        <v>127</v>
      </c>
      <c r="J71" s="3"/>
    </row>
    <row r="72" spans="1:13" ht="35.1" customHeight="1" x14ac:dyDescent="0.4">
      <c r="A72" s="467" t="s">
        <v>227</v>
      </c>
      <c r="B72" s="468"/>
      <c r="C72" s="416" t="s">
        <v>390</v>
      </c>
      <c r="D72" s="416"/>
      <c r="E72" s="469">
        <v>1000</v>
      </c>
      <c r="F72" s="469"/>
      <c r="G72" s="203">
        <v>1100</v>
      </c>
      <c r="H72" s="87">
        <v>1500</v>
      </c>
      <c r="I72" s="87">
        <v>1700</v>
      </c>
      <c r="J72" s="3"/>
    </row>
    <row r="73" spans="1:13" ht="35.1" customHeight="1" x14ac:dyDescent="0.4">
      <c r="A73" s="467" t="s">
        <v>228</v>
      </c>
      <c r="B73" s="468"/>
      <c r="C73" s="416" t="s">
        <v>391</v>
      </c>
      <c r="D73" s="416"/>
      <c r="E73" s="469">
        <v>1100</v>
      </c>
      <c r="F73" s="469"/>
      <c r="G73" s="203">
        <v>1320</v>
      </c>
      <c r="H73" s="87">
        <v>1700</v>
      </c>
      <c r="I73" s="87">
        <v>1900</v>
      </c>
      <c r="J73" s="3"/>
    </row>
    <row r="74" spans="1:13" ht="35.1" customHeight="1" x14ac:dyDescent="0.4">
      <c r="A74" s="467" t="s">
        <v>229</v>
      </c>
      <c r="B74" s="468"/>
      <c r="C74" s="416" t="s">
        <v>392</v>
      </c>
      <c r="D74" s="416"/>
      <c r="E74" s="469" t="s">
        <v>2</v>
      </c>
      <c r="F74" s="469"/>
      <c r="G74" s="203" t="s">
        <v>2</v>
      </c>
      <c r="H74" s="87">
        <v>3100</v>
      </c>
      <c r="I74" s="87">
        <v>3500</v>
      </c>
      <c r="J74" s="3"/>
    </row>
    <row r="75" spans="1:13" ht="35.1" customHeight="1" x14ac:dyDescent="0.4">
      <c r="A75" s="88"/>
      <c r="B75" s="82"/>
      <c r="C75" s="82"/>
      <c r="D75" s="3"/>
      <c r="E75" s="3"/>
      <c r="F75" s="3"/>
      <c r="G75" s="3"/>
      <c r="H75" s="3"/>
      <c r="I75" s="3"/>
      <c r="J75" s="3"/>
    </row>
    <row r="76" spans="1:13" ht="35.1" customHeight="1" thickBot="1" x14ac:dyDescent="0.3">
      <c r="A76" s="472" t="s">
        <v>121</v>
      </c>
      <c r="B76" s="472"/>
      <c r="C76" s="472"/>
      <c r="D76" s="472"/>
      <c r="E76" s="472"/>
      <c r="F76" s="472"/>
      <c r="G76" s="472"/>
      <c r="H76" s="472"/>
      <c r="I76" s="472"/>
      <c r="J76" s="472"/>
    </row>
    <row r="77" spans="1:13" ht="35.1" customHeight="1" x14ac:dyDescent="0.4">
      <c r="A77" s="471" t="s">
        <v>105</v>
      </c>
      <c r="B77" s="471"/>
      <c r="C77" s="473" t="s">
        <v>107</v>
      </c>
      <c r="D77" s="474"/>
      <c r="E77" s="475" t="s">
        <v>13</v>
      </c>
      <c r="F77" s="476"/>
      <c r="G77" s="477" t="s">
        <v>109</v>
      </c>
      <c r="H77" s="478"/>
      <c r="I77" s="475" t="s">
        <v>108</v>
      </c>
      <c r="J77" s="479"/>
      <c r="L77" s="68"/>
      <c r="M77" s="68"/>
    </row>
    <row r="78" spans="1:13" ht="35.1" customHeight="1" x14ac:dyDescent="0.4">
      <c r="A78" s="471"/>
      <c r="B78" s="471"/>
      <c r="C78" s="208" t="s">
        <v>120</v>
      </c>
      <c r="D78" s="148" t="s">
        <v>119</v>
      </c>
      <c r="E78" s="205" t="s">
        <v>118</v>
      </c>
      <c r="F78" s="205" t="s">
        <v>117</v>
      </c>
      <c r="G78" s="205" t="s">
        <v>118</v>
      </c>
      <c r="H78" s="205" t="s">
        <v>117</v>
      </c>
      <c r="I78" s="205" t="s">
        <v>118</v>
      </c>
      <c r="J78" s="90" t="s">
        <v>117</v>
      </c>
      <c r="L78" s="69"/>
      <c r="M78" s="69"/>
    </row>
    <row r="79" spans="1:13" ht="35.1" customHeight="1" x14ac:dyDescent="0.4">
      <c r="A79" s="471"/>
      <c r="B79" s="471"/>
      <c r="C79" s="208">
        <v>600</v>
      </c>
      <c r="D79" s="148">
        <v>120</v>
      </c>
      <c r="E79" s="205">
        <v>432</v>
      </c>
      <c r="F79" s="205">
        <v>515</v>
      </c>
      <c r="G79" s="203">
        <v>554</v>
      </c>
      <c r="H79" s="202">
        <v>637</v>
      </c>
      <c r="I79" s="205">
        <v>720</v>
      </c>
      <c r="J79" s="90">
        <v>828</v>
      </c>
    </row>
    <row r="80" spans="1:13" ht="35.1" customHeight="1" x14ac:dyDescent="0.4">
      <c r="A80" s="471"/>
      <c r="B80" s="471"/>
      <c r="C80" s="208">
        <v>800</v>
      </c>
      <c r="D80" s="148">
        <v>120</v>
      </c>
      <c r="E80" s="205">
        <v>576</v>
      </c>
      <c r="F80" s="205">
        <v>686</v>
      </c>
      <c r="G80" s="203">
        <v>739</v>
      </c>
      <c r="H80" s="202">
        <v>850</v>
      </c>
      <c r="I80" s="205">
        <v>960</v>
      </c>
      <c r="J80" s="90">
        <v>1104</v>
      </c>
    </row>
    <row r="81" spans="1:10" ht="35.1" customHeight="1" x14ac:dyDescent="0.4">
      <c r="A81" s="471"/>
      <c r="B81" s="471"/>
      <c r="C81" s="208">
        <v>1200</v>
      </c>
      <c r="D81" s="148">
        <v>120</v>
      </c>
      <c r="E81" s="205">
        <v>864</v>
      </c>
      <c r="F81" s="205">
        <v>1030</v>
      </c>
      <c r="G81" s="203">
        <v>1109</v>
      </c>
      <c r="H81" s="202">
        <v>1274</v>
      </c>
      <c r="I81" s="205">
        <v>1440</v>
      </c>
      <c r="J81" s="90">
        <v>1656</v>
      </c>
    </row>
    <row r="82" spans="1:10" ht="35.1" customHeight="1" x14ac:dyDescent="0.4">
      <c r="A82" s="471">
        <v>3.5</v>
      </c>
      <c r="B82" s="471"/>
      <c r="C82" s="208">
        <v>600</v>
      </c>
      <c r="D82" s="148">
        <v>120</v>
      </c>
      <c r="E82" s="205">
        <v>892</v>
      </c>
      <c r="F82" s="205">
        <v>975</v>
      </c>
      <c r="G82" s="203">
        <v>1014</v>
      </c>
      <c r="H82" s="202">
        <v>1097</v>
      </c>
      <c r="I82" s="205">
        <v>1180</v>
      </c>
      <c r="J82" s="90">
        <v>1288</v>
      </c>
    </row>
    <row r="83" spans="1:10" ht="35.1" customHeight="1" x14ac:dyDescent="0.4">
      <c r="A83" s="471"/>
      <c r="B83" s="471"/>
      <c r="C83" s="208">
        <v>800</v>
      </c>
      <c r="D83" s="148">
        <v>120</v>
      </c>
      <c r="E83" s="205">
        <v>1036</v>
      </c>
      <c r="F83" s="205">
        <v>1146</v>
      </c>
      <c r="G83" s="203">
        <v>1199</v>
      </c>
      <c r="H83" s="202">
        <v>1310</v>
      </c>
      <c r="I83" s="205">
        <v>1420</v>
      </c>
      <c r="J83" s="90">
        <v>1564</v>
      </c>
    </row>
    <row r="84" spans="1:10" ht="35.1" customHeight="1" thickBot="1" x14ac:dyDescent="0.45">
      <c r="A84" s="471"/>
      <c r="B84" s="471"/>
      <c r="C84" s="209">
        <v>1200</v>
      </c>
      <c r="D84" s="91">
        <v>120</v>
      </c>
      <c r="E84" s="92">
        <v>1324</v>
      </c>
      <c r="F84" s="92">
        <v>1490</v>
      </c>
      <c r="G84" s="93">
        <v>1569</v>
      </c>
      <c r="H84" s="94">
        <v>1734</v>
      </c>
      <c r="I84" s="92">
        <v>1900</v>
      </c>
      <c r="J84" s="95">
        <v>2116</v>
      </c>
    </row>
    <row r="85" spans="1:10" ht="15" customHeight="1" x14ac:dyDescent="0.4">
      <c r="A85" s="78"/>
      <c r="B85" s="210"/>
      <c r="C85" s="201"/>
      <c r="D85" s="201"/>
      <c r="E85" s="201"/>
      <c r="F85" s="201"/>
      <c r="G85" s="80"/>
      <c r="H85" s="3"/>
      <c r="I85" s="3"/>
      <c r="J85" s="3"/>
    </row>
  </sheetData>
  <mergeCells count="59">
    <mergeCell ref="A82:B84"/>
    <mergeCell ref="A74:B74"/>
    <mergeCell ref="C74:D74"/>
    <mergeCell ref="E74:F74"/>
    <mergeCell ref="A76:J76"/>
    <mergeCell ref="A77:B81"/>
    <mergeCell ref="C77:D77"/>
    <mergeCell ref="E77:F77"/>
    <mergeCell ref="G77:H77"/>
    <mergeCell ref="I77:J77"/>
    <mergeCell ref="A72:B72"/>
    <mergeCell ref="C72:D72"/>
    <mergeCell ref="E72:F72"/>
    <mergeCell ref="A73:B73"/>
    <mergeCell ref="C73:D73"/>
    <mergeCell ref="E73:F73"/>
    <mergeCell ref="A69:I69"/>
    <mergeCell ref="A70:B71"/>
    <mergeCell ref="C70:D71"/>
    <mergeCell ref="E70:G70"/>
    <mergeCell ref="H70:I70"/>
    <mergeCell ref="E71:F71"/>
    <mergeCell ref="A66:B66"/>
    <mergeCell ref="C66:D66"/>
    <mergeCell ref="E66:F66"/>
    <mergeCell ref="A67:B67"/>
    <mergeCell ref="C67:D67"/>
    <mergeCell ref="E67:F67"/>
    <mergeCell ref="A63:I63"/>
    <mergeCell ref="A64:B65"/>
    <mergeCell ref="C64:D65"/>
    <mergeCell ref="E64:G64"/>
    <mergeCell ref="H64:I64"/>
    <mergeCell ref="E65:F65"/>
    <mergeCell ref="A62:I62"/>
    <mergeCell ref="A41:I41"/>
    <mergeCell ref="A42:B47"/>
    <mergeCell ref="A48:I48"/>
    <mergeCell ref="A49:B54"/>
    <mergeCell ref="A55:I55"/>
    <mergeCell ref="A56:B61"/>
    <mergeCell ref="A35:B40"/>
    <mergeCell ref="A9:J9"/>
    <mergeCell ref="A10:I10"/>
    <mergeCell ref="A11:I11"/>
    <mergeCell ref="A12:I12"/>
    <mergeCell ref="A13:B13"/>
    <mergeCell ref="A14:B19"/>
    <mergeCell ref="A20:I20"/>
    <mergeCell ref="A21:B26"/>
    <mergeCell ref="A27:I27"/>
    <mergeCell ref="A28:B33"/>
    <mergeCell ref="A34:I34"/>
    <mergeCell ref="A8:J8"/>
    <mergeCell ref="A1:E1"/>
    <mergeCell ref="A2:D2"/>
    <mergeCell ref="A3:E3"/>
    <mergeCell ref="A6:K7"/>
    <mergeCell ref="G5:H5"/>
  </mergeCells>
  <printOptions horizontalCentered="1"/>
  <pageMargins left="0" right="0" top="0" bottom="0" header="0" footer="0"/>
  <pageSetup paperSize="9" scale="2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50"/>
  <sheetViews>
    <sheetView topLeftCell="A13" zoomScale="50" zoomScaleNormal="50" workbookViewId="0">
      <selection activeCell="R15" sqref="R15"/>
    </sheetView>
  </sheetViews>
  <sheetFormatPr defaultRowHeight="15" x14ac:dyDescent="0.25"/>
  <cols>
    <col min="1" max="1" width="18.85546875" style="22" customWidth="1"/>
    <col min="2" max="2" width="71.5703125" style="21" customWidth="1"/>
    <col min="3" max="6" width="30.7109375" style="20" customWidth="1"/>
    <col min="7" max="7" width="30.7109375" style="19" customWidth="1"/>
    <col min="8" max="9" width="30.7109375" customWidth="1"/>
    <col min="10" max="10" width="15.28515625" customWidth="1"/>
  </cols>
  <sheetData>
    <row r="1" spans="1:11" ht="45.75" customHeight="1" x14ac:dyDescent="0.35">
      <c r="A1" s="447" t="s">
        <v>441</v>
      </c>
      <c r="B1" s="447"/>
      <c r="C1" s="447"/>
      <c r="D1" s="447"/>
      <c r="E1" s="447"/>
      <c r="F1"/>
      <c r="G1"/>
    </row>
    <row r="2" spans="1:11" ht="39.6" customHeight="1" x14ac:dyDescent="0.35">
      <c r="A2" s="447" t="s">
        <v>306</v>
      </c>
      <c r="B2" s="447"/>
      <c r="C2" s="447"/>
      <c r="D2" s="447"/>
      <c r="E2" s="44"/>
      <c r="F2"/>
      <c r="G2"/>
    </row>
    <row r="3" spans="1:11" ht="25.9" customHeight="1" x14ac:dyDescent="0.45">
      <c r="A3" s="448" t="s">
        <v>9</v>
      </c>
      <c r="B3" s="448"/>
      <c r="C3" s="448"/>
      <c r="D3" s="448"/>
      <c r="E3" s="448"/>
      <c r="F3"/>
      <c r="G3" s="339"/>
      <c r="H3" s="339"/>
      <c r="I3" s="77"/>
      <c r="J3" s="77"/>
    </row>
    <row r="4" spans="1:11" ht="25.5" customHeight="1" x14ac:dyDescent="0.45">
      <c r="A4"/>
      <c r="B4"/>
      <c r="C4"/>
      <c r="D4"/>
      <c r="E4"/>
      <c r="F4"/>
      <c r="G4" s="339"/>
      <c r="H4" s="339"/>
      <c r="I4" s="77"/>
      <c r="J4" s="77"/>
    </row>
    <row r="5" spans="1:11" ht="27.75" customHeight="1" x14ac:dyDescent="0.45">
      <c r="A5"/>
      <c r="B5"/>
      <c r="C5"/>
      <c r="D5"/>
      <c r="E5"/>
      <c r="F5"/>
      <c r="G5" s="339" t="s">
        <v>547</v>
      </c>
      <c r="H5" s="339"/>
      <c r="I5" s="77" t="s">
        <v>546</v>
      </c>
      <c r="J5" s="77"/>
      <c r="K5" s="63"/>
    </row>
    <row r="6" spans="1:11" ht="44.45" customHeight="1" x14ac:dyDescent="0.25">
      <c r="A6" s="333" t="s">
        <v>337</v>
      </c>
      <c r="B6" s="333"/>
      <c r="C6" s="333"/>
      <c r="D6" s="333"/>
      <c r="E6" s="333"/>
      <c r="F6" s="333"/>
      <c r="G6" s="333"/>
      <c r="H6" s="333"/>
      <c r="I6" s="333"/>
      <c r="J6" s="333"/>
      <c r="K6" s="333"/>
    </row>
    <row r="7" spans="1:11" s="22" customFormat="1" ht="12" customHeight="1" x14ac:dyDescent="0.25">
      <c r="A7" s="333"/>
      <c r="B7" s="333"/>
      <c r="C7" s="333"/>
      <c r="D7" s="333"/>
      <c r="E7" s="333"/>
      <c r="F7" s="333"/>
      <c r="G7" s="333"/>
      <c r="H7" s="333"/>
      <c r="I7" s="333"/>
      <c r="J7" s="333"/>
      <c r="K7" s="333"/>
    </row>
    <row r="8" spans="1:11" s="22" customFormat="1" ht="28.5" customHeight="1" x14ac:dyDescent="0.45">
      <c r="A8" s="317" t="s">
        <v>443</v>
      </c>
      <c r="B8" s="318"/>
      <c r="C8" s="318"/>
      <c r="D8" s="318"/>
      <c r="E8" s="318"/>
      <c r="F8" s="318"/>
      <c r="G8" s="318"/>
      <c r="H8" s="318"/>
      <c r="I8" s="318"/>
      <c r="J8" s="318"/>
      <c r="K8" s="66"/>
    </row>
    <row r="9" spans="1:11" s="22" customFormat="1" ht="30" customHeight="1" x14ac:dyDescent="0.45">
      <c r="A9" s="480" t="s">
        <v>140</v>
      </c>
      <c r="B9" s="480"/>
      <c r="C9" s="480"/>
      <c r="D9" s="480"/>
      <c r="E9" s="480"/>
      <c r="F9" s="480"/>
      <c r="G9" s="480"/>
      <c r="H9" s="480"/>
      <c r="I9" s="480"/>
      <c r="J9" s="3"/>
      <c r="K9"/>
    </row>
    <row r="10" spans="1:11" s="74" customFormat="1" ht="30" customHeight="1" x14ac:dyDescent="0.4">
      <c r="A10" s="455" t="s">
        <v>444</v>
      </c>
      <c r="B10" s="456"/>
      <c r="C10" s="456"/>
      <c r="D10" s="456"/>
      <c r="E10" s="456"/>
      <c r="F10" s="456"/>
      <c r="G10" s="456"/>
      <c r="H10" s="456"/>
      <c r="I10" s="456"/>
      <c r="J10" s="3"/>
      <c r="K10"/>
    </row>
    <row r="11" spans="1:11" s="74" customFormat="1" ht="30" customHeight="1" x14ac:dyDescent="0.4">
      <c r="A11" s="456" t="s">
        <v>365</v>
      </c>
      <c r="B11" s="456"/>
      <c r="C11" s="456"/>
      <c r="D11" s="456"/>
      <c r="E11" s="456"/>
      <c r="F11" s="456"/>
      <c r="G11" s="456"/>
      <c r="H11" s="456"/>
      <c r="I11" s="456"/>
      <c r="J11" s="3"/>
      <c r="K11"/>
    </row>
    <row r="12" spans="1:11" s="74" customFormat="1" ht="30" customHeight="1" x14ac:dyDescent="0.4">
      <c r="A12" s="457" t="s">
        <v>166</v>
      </c>
      <c r="B12" s="457"/>
      <c r="C12" s="457"/>
      <c r="D12" s="457"/>
      <c r="E12" s="457"/>
      <c r="F12" s="457"/>
      <c r="G12" s="457"/>
      <c r="H12" s="457"/>
      <c r="I12" s="457"/>
      <c r="J12" s="3"/>
      <c r="K12"/>
    </row>
    <row r="13" spans="1:11" s="74" customFormat="1" ht="30" customHeight="1" x14ac:dyDescent="0.4">
      <c r="A13" s="488"/>
      <c r="B13" s="488"/>
      <c r="C13" s="489" t="s">
        <v>139</v>
      </c>
      <c r="D13" s="488" t="s">
        <v>13</v>
      </c>
      <c r="E13" s="488"/>
      <c r="F13" s="488"/>
      <c r="G13" s="488"/>
      <c r="H13" s="488" t="s">
        <v>395</v>
      </c>
      <c r="I13" s="488"/>
      <c r="J13" s="3"/>
      <c r="K13"/>
    </row>
    <row r="14" spans="1:11" s="22" customFormat="1" ht="94.5" customHeight="1" x14ac:dyDescent="0.4">
      <c r="A14" s="488"/>
      <c r="B14" s="488"/>
      <c r="C14" s="489"/>
      <c r="D14" s="84" t="s">
        <v>118</v>
      </c>
      <c r="E14" s="84" t="s">
        <v>393</v>
      </c>
      <c r="F14" s="84" t="s">
        <v>138</v>
      </c>
      <c r="G14" s="84" t="s">
        <v>394</v>
      </c>
      <c r="H14" s="84" t="s">
        <v>118</v>
      </c>
      <c r="I14" s="84" t="s">
        <v>393</v>
      </c>
      <c r="J14" s="3"/>
      <c r="K14"/>
    </row>
    <row r="15" spans="1:11" s="22" customFormat="1" ht="50.1" customHeight="1" x14ac:dyDescent="0.25">
      <c r="A15" s="443" t="s">
        <v>136</v>
      </c>
      <c r="B15" s="444"/>
      <c r="C15" s="71" t="s">
        <v>386</v>
      </c>
      <c r="D15" s="211">
        <f>1.5*500</f>
        <v>750</v>
      </c>
      <c r="E15" s="211">
        <f>1.5*700</f>
        <v>1050</v>
      </c>
      <c r="F15" s="211">
        <f>1.5*680</f>
        <v>1020</v>
      </c>
      <c r="G15" s="211">
        <f>1.5*880</f>
        <v>1320</v>
      </c>
      <c r="H15" s="148">
        <v>1125</v>
      </c>
      <c r="I15" s="148">
        <v>1375</v>
      </c>
      <c r="J15" s="78"/>
    </row>
    <row r="16" spans="1:11" s="22" customFormat="1" ht="50.1" customHeight="1" x14ac:dyDescent="0.25">
      <c r="A16" s="445"/>
      <c r="B16" s="446"/>
      <c r="C16" s="71" t="s">
        <v>385</v>
      </c>
      <c r="D16" s="211">
        <f>1.5*1000</f>
        <v>1500</v>
      </c>
      <c r="E16" s="211">
        <f>1.5*1400</f>
        <v>2100</v>
      </c>
      <c r="F16" s="211">
        <f>1.5*1360</f>
        <v>2040</v>
      </c>
      <c r="G16" s="211">
        <f>1.5*1760</f>
        <v>2640</v>
      </c>
      <c r="H16" s="148">
        <v>2259</v>
      </c>
      <c r="I16" s="148">
        <v>2750</v>
      </c>
      <c r="J16" s="78"/>
    </row>
    <row r="17" spans="1:11" s="22" customFormat="1" ht="50.1" customHeight="1" x14ac:dyDescent="0.25">
      <c r="A17" s="486"/>
      <c r="B17" s="487"/>
      <c r="C17" s="71" t="s">
        <v>387</v>
      </c>
      <c r="D17" s="211">
        <f>1.5*1300</f>
        <v>1950</v>
      </c>
      <c r="E17" s="211">
        <f>1.5*1700</f>
        <v>2550</v>
      </c>
      <c r="F17" s="211">
        <f>1.5*2440</f>
        <v>3660</v>
      </c>
      <c r="G17" s="211">
        <f>1.5*3040</f>
        <v>4560</v>
      </c>
      <c r="H17" s="148">
        <v>2660</v>
      </c>
      <c r="I17" s="148">
        <f t="shared" ref="I17" si="0">I16+400</f>
        <v>3150</v>
      </c>
      <c r="J17" s="78"/>
      <c r="K17" s="67"/>
    </row>
    <row r="18" spans="1:11" s="22" customFormat="1" ht="50.1" customHeight="1" x14ac:dyDescent="0.25">
      <c r="A18" s="443" t="s">
        <v>135</v>
      </c>
      <c r="B18" s="444"/>
      <c r="C18" s="71" t="s">
        <v>384</v>
      </c>
      <c r="D18" s="211">
        <v>380</v>
      </c>
      <c r="E18" s="211">
        <f>1.5*300</f>
        <v>450</v>
      </c>
      <c r="F18" s="211">
        <f>1.5*340</f>
        <v>510</v>
      </c>
      <c r="G18" s="211">
        <v>590</v>
      </c>
      <c r="H18" s="148">
        <v>625</v>
      </c>
      <c r="I18" s="148">
        <v>875</v>
      </c>
      <c r="J18" s="78"/>
    </row>
    <row r="19" spans="1:11" s="22" customFormat="1" ht="50.1" customHeight="1" x14ac:dyDescent="0.25">
      <c r="A19" s="445"/>
      <c r="B19" s="446"/>
      <c r="C19" s="71" t="s">
        <v>383</v>
      </c>
      <c r="D19" s="211">
        <f>1.5*500</f>
        <v>750</v>
      </c>
      <c r="E19" s="211">
        <f>1.5*600</f>
        <v>900</v>
      </c>
      <c r="F19" s="211">
        <f>1.5*680</f>
        <v>1020</v>
      </c>
      <c r="G19" s="211">
        <f>1.5*780</f>
        <v>1170</v>
      </c>
      <c r="H19" s="148">
        <v>1250</v>
      </c>
      <c r="I19" s="148">
        <v>1750</v>
      </c>
      <c r="J19" s="78"/>
    </row>
    <row r="20" spans="1:11" s="39" customFormat="1" ht="50.1" customHeight="1" x14ac:dyDescent="0.25">
      <c r="A20" s="486"/>
      <c r="B20" s="487"/>
      <c r="C20" s="71" t="s">
        <v>387</v>
      </c>
      <c r="D20" s="211">
        <v>1200</v>
      </c>
      <c r="E20" s="211">
        <v>1350</v>
      </c>
      <c r="F20" s="211">
        <v>1470</v>
      </c>
      <c r="G20" s="211">
        <v>2210</v>
      </c>
      <c r="H20" s="148">
        <f t="shared" ref="H20:I20" si="1">H19+300</f>
        <v>1550</v>
      </c>
      <c r="I20" s="148">
        <f t="shared" si="1"/>
        <v>2050</v>
      </c>
      <c r="J20" s="78"/>
      <c r="K20" s="67"/>
    </row>
    <row r="21" spans="1:11" s="39" customFormat="1" ht="50.1" customHeight="1" x14ac:dyDescent="0.25">
      <c r="A21" s="481" t="s">
        <v>134</v>
      </c>
      <c r="B21" s="482"/>
      <c r="C21" s="71" t="s">
        <v>382</v>
      </c>
      <c r="D21" s="211">
        <f>1.5*800</f>
        <v>1200</v>
      </c>
      <c r="E21" s="211">
        <f>1.5*1060</f>
        <v>1590</v>
      </c>
      <c r="F21" s="211">
        <v>1330</v>
      </c>
      <c r="G21" s="211">
        <v>1720</v>
      </c>
      <c r="H21" s="148">
        <v>947</v>
      </c>
      <c r="I21" s="148">
        <v>1080</v>
      </c>
      <c r="J21" s="78"/>
      <c r="K21" s="22"/>
    </row>
    <row r="22" spans="1:11" s="22" customFormat="1" ht="50.1" customHeight="1" x14ac:dyDescent="0.25">
      <c r="A22" s="481" t="s">
        <v>133</v>
      </c>
      <c r="B22" s="482"/>
      <c r="C22" s="71" t="s">
        <v>382</v>
      </c>
      <c r="D22" s="211">
        <f>1.5*800</f>
        <v>1200</v>
      </c>
      <c r="E22" s="211">
        <f>1.5*1060</f>
        <v>1590</v>
      </c>
      <c r="F22" s="211">
        <v>1330</v>
      </c>
      <c r="G22" s="211">
        <v>1720</v>
      </c>
      <c r="H22" s="148">
        <v>947</v>
      </c>
      <c r="I22" s="148">
        <v>1080</v>
      </c>
      <c r="J22" s="78"/>
    </row>
    <row r="23" spans="1:11" s="22" customFormat="1" ht="50.1" customHeight="1" x14ac:dyDescent="0.25">
      <c r="A23" s="481" t="s">
        <v>188</v>
      </c>
      <c r="B23" s="482"/>
      <c r="C23" s="71" t="s">
        <v>381</v>
      </c>
      <c r="D23" s="211">
        <v>830</v>
      </c>
      <c r="E23" s="211">
        <v>1130</v>
      </c>
      <c r="F23" s="211">
        <v>880</v>
      </c>
      <c r="G23" s="211">
        <v>1180</v>
      </c>
      <c r="H23" s="148">
        <v>611</v>
      </c>
      <c r="I23" s="148">
        <v>811</v>
      </c>
      <c r="J23" s="78"/>
    </row>
    <row r="24" spans="1:11" s="22" customFormat="1" ht="50.1" customHeight="1" x14ac:dyDescent="0.25">
      <c r="A24" s="481" t="s">
        <v>132</v>
      </c>
      <c r="B24" s="482"/>
      <c r="C24" s="71" t="s">
        <v>381</v>
      </c>
      <c r="D24" s="211">
        <v>830</v>
      </c>
      <c r="E24" s="211">
        <v>1130</v>
      </c>
      <c r="F24" s="211">
        <v>880</v>
      </c>
      <c r="G24" s="211">
        <v>1180</v>
      </c>
      <c r="H24" s="148">
        <v>611</v>
      </c>
      <c r="I24" s="148">
        <v>811</v>
      </c>
      <c r="J24" s="78"/>
    </row>
    <row r="25" spans="1:11" s="22" customFormat="1" ht="50.1" customHeight="1" x14ac:dyDescent="0.25">
      <c r="A25" s="443" t="s">
        <v>191</v>
      </c>
      <c r="B25" s="444"/>
      <c r="C25" s="71" t="s">
        <v>386</v>
      </c>
      <c r="D25" s="211">
        <f>1.5*680</f>
        <v>1020</v>
      </c>
      <c r="E25" s="211">
        <f>1.5*880</f>
        <v>1320</v>
      </c>
      <c r="F25" s="211">
        <v>1350</v>
      </c>
      <c r="G25" s="211">
        <v>1650</v>
      </c>
      <c r="H25" s="148">
        <v>1375</v>
      </c>
      <c r="I25" s="148">
        <v>1625</v>
      </c>
      <c r="J25" s="78"/>
    </row>
    <row r="26" spans="1:11" s="37" customFormat="1" ht="50.1" customHeight="1" x14ac:dyDescent="0.25">
      <c r="A26" s="445"/>
      <c r="B26" s="446"/>
      <c r="C26" s="71" t="s">
        <v>385</v>
      </c>
      <c r="D26" s="211">
        <v>2030</v>
      </c>
      <c r="E26" s="211">
        <v>2630</v>
      </c>
      <c r="F26" s="211">
        <v>2680</v>
      </c>
      <c r="G26" s="211">
        <v>3280</v>
      </c>
      <c r="H26" s="148">
        <v>2500</v>
      </c>
      <c r="I26" s="148">
        <v>3000</v>
      </c>
      <c r="J26" s="78"/>
      <c r="K26" s="22"/>
    </row>
    <row r="27" spans="1:11" s="74" customFormat="1" ht="50.1" customHeight="1" x14ac:dyDescent="0.25">
      <c r="A27" s="486"/>
      <c r="B27" s="487"/>
      <c r="C27" s="126" t="s">
        <v>387</v>
      </c>
      <c r="D27" s="212">
        <f>1.5*1700</f>
        <v>2550</v>
      </c>
      <c r="E27" s="212">
        <f>1.5*2100</f>
        <v>3150</v>
      </c>
      <c r="F27" s="212">
        <v>3200</v>
      </c>
      <c r="G27" s="212">
        <v>3800</v>
      </c>
      <c r="H27" s="315">
        <v>2850</v>
      </c>
      <c r="I27" s="315">
        <v>3350</v>
      </c>
      <c r="J27" s="78"/>
    </row>
    <row r="28" spans="1:11" s="38" customFormat="1" ht="50.1" customHeight="1" x14ac:dyDescent="0.25">
      <c r="A28" s="443" t="s">
        <v>398</v>
      </c>
      <c r="B28" s="444"/>
      <c r="C28" s="71" t="s">
        <v>384</v>
      </c>
      <c r="D28" s="211">
        <v>380</v>
      </c>
      <c r="E28" s="211">
        <f>1.5*300</f>
        <v>450</v>
      </c>
      <c r="F28" s="211">
        <f>1.5*340</f>
        <v>510</v>
      </c>
      <c r="G28" s="211">
        <v>590</v>
      </c>
      <c r="H28" s="148">
        <v>625</v>
      </c>
      <c r="I28" s="148">
        <v>875</v>
      </c>
      <c r="J28" s="78"/>
      <c r="K28" s="22"/>
    </row>
    <row r="29" spans="1:11" s="22" customFormat="1" ht="50.1" customHeight="1" x14ac:dyDescent="0.25">
      <c r="A29" s="445"/>
      <c r="B29" s="446"/>
      <c r="C29" s="71" t="s">
        <v>383</v>
      </c>
      <c r="D29" s="211">
        <f>1.5*500</f>
        <v>750</v>
      </c>
      <c r="E29" s="211">
        <f>1.5*600</f>
        <v>900</v>
      </c>
      <c r="F29" s="211">
        <f>1.5*680</f>
        <v>1020</v>
      </c>
      <c r="G29" s="211">
        <f>1.5*780</f>
        <v>1170</v>
      </c>
      <c r="H29" s="148">
        <v>1250</v>
      </c>
      <c r="I29" s="148">
        <v>1750</v>
      </c>
      <c r="J29" s="78"/>
    </row>
    <row r="30" spans="1:11" s="74" customFormat="1" ht="50.1" customHeight="1" x14ac:dyDescent="0.25">
      <c r="A30" s="486"/>
      <c r="B30" s="487"/>
      <c r="C30" s="126" t="s">
        <v>397</v>
      </c>
      <c r="D30" s="212">
        <f>1.5*800</f>
        <v>1200</v>
      </c>
      <c r="E30" s="212">
        <f>1.5*900</f>
        <v>1350</v>
      </c>
      <c r="F30" s="212">
        <f>1.5*980</f>
        <v>1470</v>
      </c>
      <c r="G30" s="212">
        <f>1.5*1080</f>
        <v>1620</v>
      </c>
      <c r="H30" s="315">
        <v>1550</v>
      </c>
      <c r="I30" s="315">
        <v>2050</v>
      </c>
      <c r="J30" s="78"/>
    </row>
    <row r="31" spans="1:11" s="22" customFormat="1" ht="50.1" customHeight="1" x14ac:dyDescent="0.25">
      <c r="A31" s="443" t="s">
        <v>309</v>
      </c>
      <c r="B31" s="444"/>
      <c r="C31" s="71" t="s">
        <v>384</v>
      </c>
      <c r="D31" s="211">
        <v>980</v>
      </c>
      <c r="E31" s="211">
        <f>1.5*800</f>
        <v>1200</v>
      </c>
      <c r="F31" s="211">
        <f>1.5*740</f>
        <v>1110</v>
      </c>
      <c r="G31" s="211">
        <f>1.5*890</f>
        <v>1335</v>
      </c>
      <c r="H31" s="148">
        <v>1050</v>
      </c>
      <c r="I31" s="148">
        <v>1250</v>
      </c>
      <c r="J31" s="78"/>
      <c r="K31" s="39"/>
    </row>
    <row r="32" spans="1:11" s="22" customFormat="1" ht="50.1" customHeight="1" x14ac:dyDescent="0.25">
      <c r="A32" s="445"/>
      <c r="B32" s="446"/>
      <c r="C32" s="71" t="s">
        <v>383</v>
      </c>
      <c r="D32" s="211">
        <f>1.5*1300</f>
        <v>1950</v>
      </c>
      <c r="E32" s="211">
        <f>1.5*1500</f>
        <v>2250</v>
      </c>
      <c r="F32" s="211">
        <f>1.5*1480</f>
        <v>2220</v>
      </c>
      <c r="G32" s="211">
        <f>1.5*1680</f>
        <v>2520</v>
      </c>
      <c r="H32" s="148">
        <v>2100</v>
      </c>
      <c r="I32" s="148">
        <v>2500</v>
      </c>
      <c r="J32" s="78"/>
      <c r="K32" s="39"/>
    </row>
    <row r="33" spans="1:11" s="74" customFormat="1" ht="50.1" customHeight="1" x14ac:dyDescent="0.25">
      <c r="A33" s="486"/>
      <c r="B33" s="487"/>
      <c r="C33" s="126" t="s">
        <v>397</v>
      </c>
      <c r="D33" s="212">
        <f>1.5*1600</f>
        <v>2400</v>
      </c>
      <c r="E33" s="212">
        <f>1.5*1800</f>
        <v>2700</v>
      </c>
      <c r="F33" s="212">
        <f>1.5*1780</f>
        <v>2670</v>
      </c>
      <c r="G33" s="212">
        <f>1.5*1980</f>
        <v>2970</v>
      </c>
      <c r="H33" s="315">
        <v>2400</v>
      </c>
      <c r="I33" s="315">
        <v>2800</v>
      </c>
      <c r="J33" s="78"/>
    </row>
    <row r="34" spans="1:11" ht="50.1" customHeight="1" x14ac:dyDescent="0.25">
      <c r="A34" s="481" t="s">
        <v>192</v>
      </c>
      <c r="B34" s="482"/>
      <c r="C34" s="71" t="s">
        <v>382</v>
      </c>
      <c r="D34" s="211">
        <v>2450</v>
      </c>
      <c r="E34" s="211">
        <v>2840</v>
      </c>
      <c r="F34" s="211">
        <v>2580</v>
      </c>
      <c r="G34" s="211">
        <v>2970</v>
      </c>
      <c r="H34" s="148">
        <v>1800</v>
      </c>
      <c r="I34" s="148">
        <v>2000</v>
      </c>
      <c r="J34" s="78"/>
      <c r="K34" s="22"/>
    </row>
    <row r="35" spans="1:11" ht="50.1" customHeight="1" x14ac:dyDescent="0.25">
      <c r="A35" s="443" t="s">
        <v>130</v>
      </c>
      <c r="B35" s="444"/>
      <c r="C35" s="71" t="s">
        <v>380</v>
      </c>
      <c r="D35" s="313">
        <v>680</v>
      </c>
      <c r="E35" s="313">
        <f>1.5*700</f>
        <v>1050</v>
      </c>
      <c r="F35" s="313">
        <f>1.5*800</f>
        <v>1200</v>
      </c>
      <c r="G35" s="313">
        <v>1430</v>
      </c>
      <c r="H35" s="211">
        <v>1125</v>
      </c>
      <c r="I35" s="211">
        <v>1375</v>
      </c>
      <c r="J35" s="78"/>
      <c r="K35" s="22"/>
    </row>
    <row r="36" spans="1:11" ht="50.1" customHeight="1" x14ac:dyDescent="0.25">
      <c r="A36" s="486"/>
      <c r="B36" s="487"/>
      <c r="C36" s="126" t="s">
        <v>455</v>
      </c>
      <c r="D36" s="212">
        <v>1430</v>
      </c>
      <c r="E36" s="212">
        <f>1.5*1200</f>
        <v>1800</v>
      </c>
      <c r="F36" s="212">
        <v>2030</v>
      </c>
      <c r="G36" s="212">
        <f>1.5*1600</f>
        <v>2400</v>
      </c>
      <c r="H36" s="212">
        <v>2250</v>
      </c>
      <c r="I36" s="212">
        <v>2650</v>
      </c>
      <c r="J36" s="78"/>
      <c r="K36" s="74"/>
    </row>
    <row r="37" spans="1:11" ht="50.1" customHeight="1" x14ac:dyDescent="0.25">
      <c r="A37" s="481" t="s">
        <v>307</v>
      </c>
      <c r="B37" s="482"/>
      <c r="C37" s="71" t="s">
        <v>379</v>
      </c>
      <c r="D37" s="313">
        <f>1.5*6900</f>
        <v>10350</v>
      </c>
      <c r="E37" s="313">
        <f>1.5*7100</f>
        <v>10650</v>
      </c>
      <c r="F37" s="314">
        <v>11330</v>
      </c>
      <c r="G37" s="314">
        <v>11630</v>
      </c>
      <c r="H37" s="211">
        <v>7400</v>
      </c>
      <c r="I37" s="211">
        <v>7900</v>
      </c>
      <c r="J37" s="78"/>
      <c r="K37" s="37"/>
    </row>
    <row r="38" spans="1:11" ht="50.1" customHeight="1" x14ac:dyDescent="0.25">
      <c r="A38" s="443" t="s">
        <v>533</v>
      </c>
      <c r="B38" s="444"/>
      <c r="C38" s="310" t="s">
        <v>530</v>
      </c>
      <c r="D38" s="314">
        <v>800</v>
      </c>
      <c r="E38" s="314">
        <v>1000</v>
      </c>
      <c r="F38" s="314">
        <v>1100</v>
      </c>
      <c r="G38" s="314">
        <f>F38+150</f>
        <v>1250</v>
      </c>
      <c r="H38" s="212">
        <f>D38+1000</f>
        <v>1800</v>
      </c>
      <c r="I38" s="212">
        <f>H38+400</f>
        <v>2200</v>
      </c>
      <c r="J38" s="78"/>
      <c r="K38" s="74"/>
    </row>
    <row r="39" spans="1:11" ht="50.1" customHeight="1" x14ac:dyDescent="0.25">
      <c r="A39" s="486"/>
      <c r="B39" s="487"/>
      <c r="C39" s="310" t="s">
        <v>534</v>
      </c>
      <c r="D39" s="212">
        <v>3200</v>
      </c>
      <c r="E39" s="212">
        <v>3450</v>
      </c>
      <c r="F39" s="212">
        <f>E39+250</f>
        <v>3700</v>
      </c>
      <c r="G39" s="212">
        <f>F39+250</f>
        <v>3950</v>
      </c>
      <c r="H39" s="212">
        <f>D39+1000</f>
        <v>4200</v>
      </c>
      <c r="I39" s="212">
        <f>H39+500</f>
        <v>4700</v>
      </c>
      <c r="J39" s="78"/>
      <c r="K39" s="74"/>
    </row>
    <row r="40" spans="1:11" ht="50.1" customHeight="1" x14ac:dyDescent="0.25">
      <c r="A40" s="443" t="s">
        <v>536</v>
      </c>
      <c r="B40" s="444"/>
      <c r="C40" s="310" t="s">
        <v>537</v>
      </c>
      <c r="D40" s="313">
        <v>3160</v>
      </c>
      <c r="E40" s="313">
        <v>3460</v>
      </c>
      <c r="F40" s="314">
        <f>E40+450</f>
        <v>3910</v>
      </c>
      <c r="G40" s="314">
        <f>F40+200</f>
        <v>4110</v>
      </c>
      <c r="H40" s="211">
        <f>D40+800</f>
        <v>3960</v>
      </c>
      <c r="I40" s="211">
        <f>H40+400</f>
        <v>4360</v>
      </c>
      <c r="J40" s="78"/>
      <c r="K40" s="74"/>
    </row>
    <row r="41" spans="1:11" ht="50.1" customHeight="1" x14ac:dyDescent="0.25">
      <c r="A41" s="443" t="s">
        <v>129</v>
      </c>
      <c r="B41" s="444"/>
      <c r="C41" s="71" t="s">
        <v>308</v>
      </c>
      <c r="D41" s="211">
        <f>1.5*900</f>
        <v>1350</v>
      </c>
      <c r="E41" s="211">
        <v>1610</v>
      </c>
      <c r="F41" s="211">
        <v>1850</v>
      </c>
      <c r="G41" s="211">
        <v>1910</v>
      </c>
      <c r="H41" s="211">
        <v>1300</v>
      </c>
      <c r="I41" s="211">
        <v>1500</v>
      </c>
      <c r="J41" s="78"/>
      <c r="K41" s="38"/>
    </row>
    <row r="42" spans="1:11" ht="50.1" customHeight="1" x14ac:dyDescent="0.25">
      <c r="A42" s="486"/>
      <c r="B42" s="487"/>
      <c r="C42" s="81" t="s">
        <v>396</v>
      </c>
      <c r="D42" s="211">
        <f>1.5*1800</f>
        <v>2700</v>
      </c>
      <c r="E42" s="211">
        <v>3230</v>
      </c>
      <c r="F42" s="211">
        <v>3680</v>
      </c>
      <c r="G42" s="211">
        <v>3800</v>
      </c>
      <c r="H42" s="211">
        <v>2500</v>
      </c>
      <c r="I42" s="211">
        <v>2950</v>
      </c>
      <c r="J42" s="78"/>
      <c r="K42" s="22"/>
    </row>
    <row r="43" spans="1:11" ht="50.1" customHeight="1" x14ac:dyDescent="0.25">
      <c r="A43" s="443" t="s">
        <v>190</v>
      </c>
      <c r="B43" s="444"/>
      <c r="C43" s="81" t="s">
        <v>378</v>
      </c>
      <c r="D43" s="313">
        <f>1.5*9780</f>
        <v>14670</v>
      </c>
      <c r="E43" s="313">
        <f>1.5*9980</f>
        <v>14970</v>
      </c>
      <c r="F43" s="314">
        <f>1.5*10180</f>
        <v>15270</v>
      </c>
      <c r="G43" s="314">
        <f>1.5*10380</f>
        <v>15570</v>
      </c>
      <c r="H43" s="211">
        <v>10380</v>
      </c>
      <c r="I43" s="211">
        <v>10580</v>
      </c>
      <c r="J43" s="78"/>
      <c r="K43" s="22"/>
    </row>
    <row r="44" spans="1:11" ht="50.1" customHeight="1" x14ac:dyDescent="0.25">
      <c r="A44" s="483" t="s">
        <v>445</v>
      </c>
      <c r="B44" s="483"/>
      <c r="C44" s="81" t="s">
        <v>377</v>
      </c>
      <c r="D44" s="211">
        <v>1100</v>
      </c>
      <c r="E44" s="211">
        <v>1250</v>
      </c>
      <c r="F44" s="212">
        <v>1400</v>
      </c>
      <c r="G44" s="212">
        <v>1550</v>
      </c>
      <c r="H44" s="315">
        <v>1130</v>
      </c>
      <c r="I44" s="315">
        <v>1230</v>
      </c>
      <c r="J44" s="78"/>
      <c r="K44" s="74"/>
    </row>
    <row r="45" spans="1:11" ht="50.1" customHeight="1" x14ac:dyDescent="0.25">
      <c r="A45" s="443" t="s">
        <v>531</v>
      </c>
      <c r="B45" s="444"/>
      <c r="C45" s="310" t="s">
        <v>532</v>
      </c>
      <c r="D45" s="314">
        <v>800</v>
      </c>
      <c r="E45" s="314">
        <v>1000</v>
      </c>
      <c r="F45" s="314">
        <v>1100</v>
      </c>
      <c r="G45" s="314">
        <f>F45+150</f>
        <v>1250</v>
      </c>
      <c r="H45" s="212">
        <f>D45+1000</f>
        <v>1800</v>
      </c>
      <c r="I45" s="212">
        <f>H45+400</f>
        <v>2200</v>
      </c>
      <c r="J45" s="78"/>
      <c r="K45" s="74"/>
    </row>
    <row r="46" spans="1:11" ht="50.1" customHeight="1" x14ac:dyDescent="0.25">
      <c r="A46" s="486"/>
      <c r="B46" s="487"/>
      <c r="C46" s="310" t="s">
        <v>535</v>
      </c>
      <c r="D46" s="212">
        <v>3750</v>
      </c>
      <c r="E46" s="212">
        <f>D46+250</f>
        <v>4000</v>
      </c>
      <c r="F46" s="212">
        <f>E46+250</f>
        <v>4250</v>
      </c>
      <c r="G46" s="212">
        <f>F46+250</f>
        <v>4500</v>
      </c>
      <c r="H46" s="212">
        <f>D46+1000</f>
        <v>4750</v>
      </c>
      <c r="I46" s="212">
        <f>H46+500</f>
        <v>5250</v>
      </c>
      <c r="J46" s="78"/>
      <c r="K46" s="74"/>
    </row>
    <row r="47" spans="1:11" ht="50.1" customHeight="1" x14ac:dyDescent="0.25">
      <c r="A47" s="443" t="s">
        <v>538</v>
      </c>
      <c r="B47" s="444"/>
      <c r="C47" s="310" t="s">
        <v>539</v>
      </c>
      <c r="D47" s="313">
        <v>3780</v>
      </c>
      <c r="E47" s="313">
        <f>D47+300</f>
        <v>4080</v>
      </c>
      <c r="F47" s="314">
        <f>E47+450</f>
        <v>4530</v>
      </c>
      <c r="G47" s="314">
        <f>F47+200</f>
        <v>4730</v>
      </c>
      <c r="H47" s="211">
        <f>D47+800</f>
        <v>4580</v>
      </c>
      <c r="I47" s="211">
        <f>H47+400</f>
        <v>4980</v>
      </c>
      <c r="J47" s="78"/>
      <c r="K47" s="74"/>
    </row>
    <row r="48" spans="1:11" ht="50.1" customHeight="1" x14ac:dyDescent="0.25">
      <c r="A48" s="485" t="s">
        <v>413</v>
      </c>
      <c r="B48" s="485"/>
      <c r="C48" s="485"/>
      <c r="D48" s="485"/>
      <c r="E48" s="485"/>
      <c r="F48" s="485"/>
      <c r="G48" s="485"/>
      <c r="H48" s="485"/>
      <c r="I48" s="485"/>
      <c r="J48" s="78"/>
      <c r="K48" s="22"/>
    </row>
    <row r="49" spans="1:11" ht="50.1" customHeight="1" x14ac:dyDescent="0.25">
      <c r="A49" s="484" t="s">
        <v>412</v>
      </c>
      <c r="B49" s="484"/>
      <c r="C49" s="484"/>
      <c r="D49" s="484"/>
      <c r="E49" s="484"/>
      <c r="F49" s="484"/>
      <c r="G49" s="484"/>
      <c r="H49" s="484"/>
      <c r="I49" s="484"/>
      <c r="J49" s="78"/>
      <c r="K49" s="74"/>
    </row>
    <row r="50" spans="1:11" ht="15" customHeight="1" x14ac:dyDescent="0.4">
      <c r="A50" s="78"/>
      <c r="B50" s="79"/>
      <c r="C50" s="75"/>
      <c r="D50" s="75"/>
      <c r="E50" s="75"/>
      <c r="F50" s="75"/>
      <c r="G50" s="80"/>
      <c r="H50" s="3"/>
      <c r="I50" s="3"/>
      <c r="J50" s="3"/>
    </row>
  </sheetData>
  <mergeCells count="37">
    <mergeCell ref="A13:B14"/>
    <mergeCell ref="C13:C14"/>
    <mergeCell ref="D13:G13"/>
    <mergeCell ref="H13:I13"/>
    <mergeCell ref="A31:B33"/>
    <mergeCell ref="A28:B30"/>
    <mergeCell ref="A25:B27"/>
    <mergeCell ref="A21:B21"/>
    <mergeCell ref="A22:B22"/>
    <mergeCell ref="A15:B17"/>
    <mergeCell ref="A18:B20"/>
    <mergeCell ref="A23:B23"/>
    <mergeCell ref="A24:B24"/>
    <mergeCell ref="A34:B34"/>
    <mergeCell ref="A43:B43"/>
    <mergeCell ref="A44:B44"/>
    <mergeCell ref="A49:I49"/>
    <mergeCell ref="A48:I48"/>
    <mergeCell ref="A35:B36"/>
    <mergeCell ref="A41:B42"/>
    <mergeCell ref="A37:B37"/>
    <mergeCell ref="A38:B39"/>
    <mergeCell ref="A45:B46"/>
    <mergeCell ref="A40:B40"/>
    <mergeCell ref="A47:B47"/>
    <mergeCell ref="A12:I12"/>
    <mergeCell ref="A10:I10"/>
    <mergeCell ref="A11:I11"/>
    <mergeCell ref="A9:I9"/>
    <mergeCell ref="A1:E1"/>
    <mergeCell ref="A2:D2"/>
    <mergeCell ref="A3:E3"/>
    <mergeCell ref="A6:K7"/>
    <mergeCell ref="A8:J8"/>
    <mergeCell ref="G3:H3"/>
    <mergeCell ref="G4:H4"/>
    <mergeCell ref="G5:H5"/>
  </mergeCells>
  <printOptions horizontalCentered="1"/>
  <pageMargins left="0" right="0" top="0" bottom="0" header="0" footer="0"/>
  <pageSetup paperSize="9" scale="3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36"/>
  <sheetViews>
    <sheetView zoomScale="50" zoomScaleNormal="50" workbookViewId="0">
      <selection activeCell="M7" sqref="M7"/>
    </sheetView>
  </sheetViews>
  <sheetFormatPr defaultRowHeight="15" x14ac:dyDescent="0.25"/>
  <cols>
    <col min="1" max="1" width="19.42578125" customWidth="1"/>
    <col min="2" max="2" width="16.28515625" customWidth="1"/>
    <col min="3" max="3" width="31.140625" customWidth="1"/>
    <col min="4" max="4" width="14.28515625" customWidth="1"/>
    <col min="5" max="5" width="16.5703125" customWidth="1"/>
    <col min="6" max="6" width="18.5703125" customWidth="1"/>
    <col min="9" max="9" width="25.7109375" customWidth="1"/>
  </cols>
  <sheetData>
    <row r="1" spans="1:11" ht="27" x14ac:dyDescent="0.35">
      <c r="A1" s="447" t="s">
        <v>441</v>
      </c>
      <c r="B1" s="447"/>
      <c r="C1" s="447"/>
      <c r="D1" s="447"/>
      <c r="E1" s="447"/>
    </row>
    <row r="2" spans="1:11" ht="27" x14ac:dyDescent="0.35">
      <c r="A2" s="447" t="s">
        <v>306</v>
      </c>
      <c r="B2" s="447"/>
      <c r="C2" s="447"/>
      <c r="D2" s="447"/>
      <c r="E2" s="44"/>
    </row>
    <row r="3" spans="1:11" ht="52.5" customHeight="1" x14ac:dyDescent="0.45">
      <c r="A3" s="448" t="s">
        <v>9</v>
      </c>
      <c r="B3" s="448"/>
      <c r="C3" s="448"/>
      <c r="D3" s="448"/>
      <c r="E3" s="448"/>
      <c r="H3" s="77"/>
      <c r="I3" s="77"/>
      <c r="J3" s="77"/>
    </row>
    <row r="4" spans="1:11" ht="39" customHeight="1" x14ac:dyDescent="0.45">
      <c r="G4" s="339" t="s">
        <v>548</v>
      </c>
      <c r="H4" s="339"/>
      <c r="I4" s="339"/>
      <c r="J4" s="77"/>
    </row>
    <row r="5" spans="1:11" s="22" customFormat="1" ht="39" customHeight="1" x14ac:dyDescent="0.45">
      <c r="A5"/>
      <c r="B5"/>
      <c r="C5"/>
      <c r="D5"/>
      <c r="E5"/>
      <c r="F5"/>
      <c r="G5" s="339"/>
      <c r="H5" s="339"/>
      <c r="I5" s="339"/>
      <c r="J5" s="77"/>
      <c r="K5" s="63"/>
    </row>
    <row r="6" spans="1:11" s="22" customFormat="1" ht="52.5" customHeight="1" x14ac:dyDescent="0.25">
      <c r="A6" s="333" t="s">
        <v>337</v>
      </c>
      <c r="B6" s="333"/>
      <c r="C6" s="333"/>
      <c r="D6" s="333"/>
      <c r="E6" s="333"/>
      <c r="F6" s="333"/>
      <c r="G6" s="333"/>
      <c r="H6" s="333"/>
      <c r="I6" s="333"/>
      <c r="J6" s="333"/>
      <c r="K6" s="333"/>
    </row>
    <row r="7" spans="1:11" ht="52.5" customHeight="1" x14ac:dyDescent="0.25">
      <c r="A7" s="333"/>
      <c r="B7" s="333"/>
      <c r="C7" s="333"/>
      <c r="D7" s="333"/>
      <c r="E7" s="333"/>
      <c r="F7" s="333"/>
      <c r="G7" s="333"/>
      <c r="H7" s="333"/>
      <c r="I7" s="333"/>
      <c r="J7" s="333"/>
      <c r="K7" s="333"/>
    </row>
    <row r="8" spans="1:11" ht="34.5" customHeight="1" x14ac:dyDescent="0.45">
      <c r="A8" s="317" t="s">
        <v>443</v>
      </c>
      <c r="B8" s="318"/>
      <c r="C8" s="318"/>
      <c r="D8" s="318"/>
      <c r="E8" s="318"/>
      <c r="F8" s="318"/>
      <c r="G8" s="318"/>
      <c r="H8" s="318"/>
      <c r="I8" s="318"/>
      <c r="J8" s="318"/>
      <c r="K8" s="66"/>
    </row>
    <row r="9" spans="1:11" ht="64.5" customHeight="1" x14ac:dyDescent="0.45">
      <c r="A9" s="531" t="s">
        <v>399</v>
      </c>
      <c r="B9" s="532"/>
      <c r="C9" s="532"/>
      <c r="D9" s="532"/>
      <c r="E9" s="532"/>
      <c r="F9" s="532"/>
      <c r="G9" s="532"/>
      <c r="H9" s="532"/>
      <c r="I9" s="532"/>
      <c r="J9" s="3"/>
    </row>
    <row r="10" spans="1:11" ht="52.5" customHeight="1" thickBot="1" x14ac:dyDescent="0.5">
      <c r="A10" s="533" t="s">
        <v>446</v>
      </c>
      <c r="B10" s="533"/>
      <c r="C10" s="533"/>
      <c r="D10" s="533"/>
      <c r="E10" s="533"/>
      <c r="F10" s="533"/>
      <c r="G10" s="533"/>
      <c r="H10" s="533"/>
      <c r="I10" s="533"/>
      <c r="J10" s="3"/>
    </row>
    <row r="11" spans="1:11" ht="52.5" customHeight="1" x14ac:dyDescent="0.4">
      <c r="A11" s="535" t="s">
        <v>446</v>
      </c>
      <c r="B11" s="536"/>
      <c r="C11" s="537"/>
      <c r="D11" s="538" t="s">
        <v>118</v>
      </c>
      <c r="E11" s="536"/>
      <c r="F11" s="537"/>
      <c r="G11" s="538" t="s">
        <v>124</v>
      </c>
      <c r="H11" s="536"/>
      <c r="I11" s="539"/>
      <c r="J11" s="3"/>
    </row>
    <row r="12" spans="1:11" ht="52.5" customHeight="1" x14ac:dyDescent="0.4">
      <c r="A12" s="520" t="s">
        <v>447</v>
      </c>
      <c r="B12" s="521"/>
      <c r="C12" s="522"/>
      <c r="D12" s="523">
        <v>3900</v>
      </c>
      <c r="E12" s="524"/>
      <c r="F12" s="525"/>
      <c r="G12" s="523">
        <v>4100</v>
      </c>
      <c r="H12" s="524"/>
      <c r="I12" s="526"/>
      <c r="J12" s="3"/>
    </row>
    <row r="13" spans="1:11" ht="52.5" customHeight="1" x14ac:dyDescent="0.4">
      <c r="A13" s="520" t="s">
        <v>448</v>
      </c>
      <c r="B13" s="521"/>
      <c r="C13" s="522"/>
      <c r="D13" s="523">
        <v>2600</v>
      </c>
      <c r="E13" s="524"/>
      <c r="F13" s="525"/>
      <c r="G13" s="523">
        <v>2720</v>
      </c>
      <c r="H13" s="524"/>
      <c r="I13" s="526"/>
      <c r="J13" s="3"/>
    </row>
    <row r="14" spans="1:11" ht="52.5" customHeight="1" x14ac:dyDescent="0.4">
      <c r="A14" s="520" t="s">
        <v>449</v>
      </c>
      <c r="B14" s="521"/>
      <c r="C14" s="522"/>
      <c r="D14" s="523">
        <v>2200</v>
      </c>
      <c r="E14" s="524"/>
      <c r="F14" s="525"/>
      <c r="G14" s="523">
        <v>2280</v>
      </c>
      <c r="H14" s="524"/>
      <c r="I14" s="526"/>
      <c r="J14" s="3"/>
    </row>
    <row r="15" spans="1:11" ht="52.5" customHeight="1" x14ac:dyDescent="0.4">
      <c r="A15" s="520" t="s">
        <v>450</v>
      </c>
      <c r="B15" s="521"/>
      <c r="C15" s="522"/>
      <c r="D15" s="523">
        <v>2200</v>
      </c>
      <c r="E15" s="524"/>
      <c r="F15" s="525"/>
      <c r="G15" s="523">
        <v>2280</v>
      </c>
      <c r="H15" s="524"/>
      <c r="I15" s="526"/>
      <c r="J15" s="3"/>
    </row>
    <row r="16" spans="1:11" ht="52.5" customHeight="1" x14ac:dyDescent="0.4">
      <c r="A16" s="520" t="s">
        <v>451</v>
      </c>
      <c r="B16" s="521"/>
      <c r="C16" s="522"/>
      <c r="D16" s="523">
        <v>660</v>
      </c>
      <c r="E16" s="524"/>
      <c r="F16" s="525"/>
      <c r="G16" s="523">
        <v>720</v>
      </c>
      <c r="H16" s="524"/>
      <c r="I16" s="526"/>
      <c r="J16" s="3"/>
    </row>
    <row r="17" spans="1:11" ht="52.5" customHeight="1" x14ac:dyDescent="0.4">
      <c r="A17" s="520" t="s">
        <v>452</v>
      </c>
      <c r="B17" s="521"/>
      <c r="C17" s="522"/>
      <c r="D17" s="523">
        <v>880</v>
      </c>
      <c r="E17" s="524"/>
      <c r="F17" s="525"/>
      <c r="G17" s="523">
        <v>960</v>
      </c>
      <c r="H17" s="524"/>
      <c r="I17" s="526"/>
      <c r="J17" s="3"/>
    </row>
    <row r="18" spans="1:11" ht="52.5" customHeight="1" x14ac:dyDescent="0.4">
      <c r="A18" s="520" t="s">
        <v>123</v>
      </c>
      <c r="B18" s="521"/>
      <c r="C18" s="522"/>
      <c r="D18" s="523">
        <v>1100</v>
      </c>
      <c r="E18" s="524"/>
      <c r="F18" s="525"/>
      <c r="G18" s="523">
        <v>1200</v>
      </c>
      <c r="H18" s="524"/>
      <c r="I18" s="526"/>
      <c r="J18" s="3"/>
    </row>
    <row r="19" spans="1:11" ht="52.5" customHeight="1" thickBot="1" x14ac:dyDescent="0.45">
      <c r="A19" s="512" t="s">
        <v>122</v>
      </c>
      <c r="B19" s="513"/>
      <c r="C19" s="514"/>
      <c r="D19" s="515">
        <v>1990</v>
      </c>
      <c r="E19" s="516"/>
      <c r="F19" s="517"/>
      <c r="G19" s="515">
        <v>2160</v>
      </c>
      <c r="H19" s="516"/>
      <c r="I19" s="518"/>
      <c r="J19" s="3"/>
    </row>
    <row r="20" spans="1:11" s="65" customFormat="1" ht="90" customHeight="1" x14ac:dyDescent="0.45">
      <c r="A20" s="519" t="s">
        <v>400</v>
      </c>
      <c r="B20" s="519"/>
      <c r="C20" s="519"/>
      <c r="D20" s="519"/>
      <c r="E20" s="519"/>
      <c r="F20" s="519"/>
      <c r="G20" s="519"/>
      <c r="H20" s="519"/>
      <c r="I20" s="519"/>
      <c r="J20" s="72"/>
    </row>
    <row r="21" spans="1:11" ht="43.5" customHeight="1" x14ac:dyDescent="0.4">
      <c r="A21" s="490" t="s">
        <v>339</v>
      </c>
      <c r="B21" s="490"/>
      <c r="C21" s="490"/>
      <c r="D21" s="490"/>
      <c r="E21" s="490"/>
      <c r="F21" s="490"/>
      <c r="G21" s="490"/>
      <c r="H21" s="490"/>
      <c r="I21" s="490"/>
      <c r="J21" s="3"/>
    </row>
    <row r="22" spans="1:11" ht="88.5" customHeight="1" x14ac:dyDescent="0.25">
      <c r="A22" s="418" t="s">
        <v>201</v>
      </c>
      <c r="B22" s="418"/>
      <c r="C22" s="418"/>
      <c r="D22" s="418" t="s">
        <v>199</v>
      </c>
      <c r="E22" s="418"/>
      <c r="F22" s="418"/>
      <c r="G22" s="418" t="s">
        <v>200</v>
      </c>
      <c r="H22" s="418"/>
      <c r="I22" s="418"/>
      <c r="J22" s="78"/>
      <c r="K22" s="22"/>
    </row>
    <row r="23" spans="1:11" ht="52.5" customHeight="1" x14ac:dyDescent="0.25">
      <c r="A23" s="471">
        <v>8500</v>
      </c>
      <c r="B23" s="471"/>
      <c r="C23" s="471"/>
      <c r="D23" s="471">
        <v>10000</v>
      </c>
      <c r="E23" s="471"/>
      <c r="F23" s="471"/>
      <c r="G23" s="471">
        <v>12000</v>
      </c>
      <c r="H23" s="471"/>
      <c r="I23" s="471"/>
      <c r="J23" s="78"/>
      <c r="K23" s="22"/>
    </row>
    <row r="24" spans="1:11" ht="52.5" customHeight="1" thickBot="1" x14ac:dyDescent="0.45">
      <c r="A24" s="490" t="s">
        <v>340</v>
      </c>
      <c r="B24" s="490"/>
      <c r="C24" s="490"/>
      <c r="D24" s="490"/>
      <c r="E24" s="490"/>
      <c r="F24" s="490"/>
      <c r="G24" s="490"/>
      <c r="H24" s="490"/>
      <c r="I24" s="490"/>
      <c r="J24" s="3"/>
    </row>
    <row r="25" spans="1:11" ht="60.75" customHeight="1" x14ac:dyDescent="0.4">
      <c r="A25" s="494"/>
      <c r="B25" s="473"/>
      <c r="C25" s="474"/>
      <c r="D25" s="529" t="s">
        <v>453</v>
      </c>
      <c r="E25" s="530"/>
      <c r="F25" s="527" t="s">
        <v>281</v>
      </c>
      <c r="G25" s="527"/>
      <c r="H25" s="527" t="s">
        <v>282</v>
      </c>
      <c r="I25" s="528"/>
      <c r="J25" s="3"/>
    </row>
    <row r="26" spans="1:11" ht="34.5" x14ac:dyDescent="0.4">
      <c r="A26" s="495" t="s">
        <v>283</v>
      </c>
      <c r="B26" s="496"/>
      <c r="C26" s="497"/>
      <c r="D26" s="498">
        <v>1630</v>
      </c>
      <c r="E26" s="498"/>
      <c r="F26" s="498">
        <v>1880</v>
      </c>
      <c r="G26" s="498"/>
      <c r="H26" s="498">
        <v>2250</v>
      </c>
      <c r="I26" s="499"/>
      <c r="J26" s="3"/>
    </row>
    <row r="27" spans="1:11" ht="34.5" x14ac:dyDescent="0.4">
      <c r="A27" s="495" t="s">
        <v>284</v>
      </c>
      <c r="B27" s="496"/>
      <c r="C27" s="497"/>
      <c r="D27" s="498">
        <v>3230</v>
      </c>
      <c r="E27" s="498"/>
      <c r="F27" s="498">
        <v>3770</v>
      </c>
      <c r="G27" s="498"/>
      <c r="H27" s="498">
        <v>4560</v>
      </c>
      <c r="I27" s="499"/>
      <c r="J27" s="3"/>
    </row>
    <row r="28" spans="1:11" ht="34.5" x14ac:dyDescent="0.4">
      <c r="A28" s="495" t="s">
        <v>285</v>
      </c>
      <c r="B28" s="496"/>
      <c r="C28" s="497"/>
      <c r="D28" s="498">
        <v>3140</v>
      </c>
      <c r="E28" s="498"/>
      <c r="F28" s="498">
        <v>3660</v>
      </c>
      <c r="G28" s="498"/>
      <c r="H28" s="498">
        <v>4420</v>
      </c>
      <c r="I28" s="499"/>
      <c r="J28" s="3"/>
    </row>
    <row r="29" spans="1:11" ht="58.5" customHeight="1" thickBot="1" x14ac:dyDescent="0.45">
      <c r="A29" s="500" t="s">
        <v>288</v>
      </c>
      <c r="B29" s="501"/>
      <c r="C29" s="502"/>
      <c r="D29" s="503" t="s">
        <v>289</v>
      </c>
      <c r="E29" s="504"/>
      <c r="F29" s="504"/>
      <c r="G29" s="504"/>
      <c r="H29" s="504"/>
      <c r="I29" s="505"/>
      <c r="J29" s="3"/>
    </row>
    <row r="30" spans="1:11" ht="76.5" customHeight="1" thickBot="1" x14ac:dyDescent="0.45">
      <c r="A30" s="534" t="s">
        <v>454</v>
      </c>
      <c r="B30" s="534"/>
      <c r="C30" s="534"/>
      <c r="D30" s="534"/>
      <c r="E30" s="534"/>
      <c r="F30" s="534"/>
      <c r="G30" s="534"/>
      <c r="H30" s="534"/>
      <c r="I30" s="534"/>
      <c r="J30" s="3"/>
    </row>
    <row r="31" spans="1:11" ht="63.75" customHeight="1" x14ac:dyDescent="0.45">
      <c r="A31" s="511" t="s">
        <v>401</v>
      </c>
      <c r="B31" s="511"/>
      <c r="C31" s="511"/>
      <c r="D31" s="511"/>
      <c r="E31" s="511"/>
      <c r="F31" s="511"/>
      <c r="G31" s="511"/>
      <c r="H31" s="511"/>
      <c r="I31" s="511"/>
      <c r="J31" s="3"/>
    </row>
    <row r="32" spans="1:11" ht="39" customHeight="1" thickBot="1" x14ac:dyDescent="0.5">
      <c r="A32" s="509"/>
      <c r="B32" s="510"/>
      <c r="C32" s="510"/>
      <c r="D32" s="510"/>
      <c r="E32" s="510"/>
      <c r="F32" s="510"/>
      <c r="G32" s="510"/>
      <c r="H32" s="510"/>
      <c r="I32" s="510"/>
      <c r="J32" s="3"/>
    </row>
    <row r="33" spans="1:10" ht="70.5" customHeight="1" thickBot="1" x14ac:dyDescent="0.5">
      <c r="A33" s="506" t="s">
        <v>286</v>
      </c>
      <c r="B33" s="507"/>
      <c r="C33" s="507"/>
      <c r="D33" s="507"/>
      <c r="E33" s="508"/>
      <c r="F33" s="491">
        <v>4500</v>
      </c>
      <c r="G33" s="492"/>
      <c r="H33" s="492"/>
      <c r="I33" s="493"/>
      <c r="J33" s="3"/>
    </row>
    <row r="34" spans="1:10" ht="91.5" customHeight="1" x14ac:dyDescent="0.4">
      <c r="J34" s="3"/>
    </row>
    <row r="35" spans="1:10" ht="27.75" x14ac:dyDescent="0.4">
      <c r="A35" s="78"/>
      <c r="B35" s="79"/>
      <c r="C35" s="75"/>
      <c r="D35" s="75"/>
      <c r="E35" s="75"/>
      <c r="F35" s="75"/>
      <c r="G35" s="80"/>
      <c r="H35" s="3"/>
      <c r="I35" s="3"/>
      <c r="J35" s="3"/>
    </row>
    <row r="36" spans="1:10" x14ac:dyDescent="0.25">
      <c r="A36" s="22"/>
      <c r="B36" s="21"/>
      <c r="C36" s="20"/>
      <c r="D36" s="20"/>
      <c r="E36" s="20"/>
      <c r="F36" s="20"/>
      <c r="G36" s="19"/>
    </row>
  </sheetData>
  <mergeCells count="67">
    <mergeCell ref="A9:I9"/>
    <mergeCell ref="A10:I10"/>
    <mergeCell ref="A30:I30"/>
    <mergeCell ref="A22:C22"/>
    <mergeCell ref="D22:F22"/>
    <mergeCell ref="G22:I22"/>
    <mergeCell ref="A23:C23"/>
    <mergeCell ref="A11:C11"/>
    <mergeCell ref="D11:F11"/>
    <mergeCell ref="G11:I11"/>
    <mergeCell ref="A12:C12"/>
    <mergeCell ref="D12:F12"/>
    <mergeCell ref="G12:I12"/>
    <mergeCell ref="A13:C13"/>
    <mergeCell ref="D13:F13"/>
    <mergeCell ref="G13:I13"/>
    <mergeCell ref="H26:I26"/>
    <mergeCell ref="H25:I25"/>
    <mergeCell ref="F25:G25"/>
    <mergeCell ref="D25:E25"/>
    <mergeCell ref="D27:E27"/>
    <mergeCell ref="F27:G27"/>
    <mergeCell ref="H27:I27"/>
    <mergeCell ref="A14:C14"/>
    <mergeCell ref="A18:C18"/>
    <mergeCell ref="D18:F18"/>
    <mergeCell ref="G18:I18"/>
    <mergeCell ref="A16:C16"/>
    <mergeCell ref="D16:F16"/>
    <mergeCell ref="G16:I16"/>
    <mergeCell ref="A17:C17"/>
    <mergeCell ref="D17:F17"/>
    <mergeCell ref="G17:I17"/>
    <mergeCell ref="A15:C15"/>
    <mergeCell ref="D15:F15"/>
    <mergeCell ref="G15:I15"/>
    <mergeCell ref="D14:F14"/>
    <mergeCell ref="G14:I14"/>
    <mergeCell ref="A21:I21"/>
    <mergeCell ref="D23:F23"/>
    <mergeCell ref="G23:I23"/>
    <mergeCell ref="A19:C19"/>
    <mergeCell ref="D19:F19"/>
    <mergeCell ref="G19:I19"/>
    <mergeCell ref="A20:I20"/>
    <mergeCell ref="A1:E1"/>
    <mergeCell ref="A2:D2"/>
    <mergeCell ref="A3:E3"/>
    <mergeCell ref="A6:K7"/>
    <mergeCell ref="A8:J8"/>
    <mergeCell ref="G4:I5"/>
    <mergeCell ref="A24:I24"/>
    <mergeCell ref="F33:I33"/>
    <mergeCell ref="A25:C25"/>
    <mergeCell ref="A26:C26"/>
    <mergeCell ref="D26:E26"/>
    <mergeCell ref="F26:G26"/>
    <mergeCell ref="A28:C28"/>
    <mergeCell ref="D28:E28"/>
    <mergeCell ref="F28:G28"/>
    <mergeCell ref="H28:I28"/>
    <mergeCell ref="A29:C29"/>
    <mergeCell ref="D29:I29"/>
    <mergeCell ref="A33:E33"/>
    <mergeCell ref="A27:C27"/>
    <mergeCell ref="A32:I32"/>
    <mergeCell ref="A31:I31"/>
  </mergeCells>
  <hyperlinks>
    <hyperlink ref="A3:D3" r:id="rId1" display="e-mail: at-mebel.fasad@mail.ru"/>
    <hyperlink ref="A3" r:id="rId2" display="at-mebel.fasad@mail.ru"/>
  </hyperlinks>
  <pageMargins left="0.7" right="0.7" top="0.75" bottom="0.75" header="0.3" footer="0.3"/>
  <pageSetup paperSize="9" scale="44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51"/>
  <sheetViews>
    <sheetView zoomScale="50" zoomScaleNormal="50" workbookViewId="0">
      <selection activeCell="A5" sqref="A5:E5"/>
    </sheetView>
  </sheetViews>
  <sheetFormatPr defaultRowHeight="15" x14ac:dyDescent="0.25"/>
  <cols>
    <col min="1" max="1" width="31.85546875" customWidth="1"/>
    <col min="2" max="2" width="121.85546875" customWidth="1"/>
    <col min="3" max="3" width="35.28515625" customWidth="1"/>
    <col min="4" max="4" width="30.42578125" customWidth="1"/>
    <col min="5" max="5" width="27.5703125" customWidth="1"/>
  </cols>
  <sheetData>
    <row r="1" spans="1:5" ht="27.75" x14ac:dyDescent="0.4">
      <c r="A1" s="3" t="s">
        <v>20</v>
      </c>
      <c r="B1" s="3" t="s">
        <v>75</v>
      </c>
      <c r="C1" s="3"/>
      <c r="D1" s="3"/>
      <c r="E1" s="3"/>
    </row>
    <row r="2" spans="1:5" ht="27.75" x14ac:dyDescent="0.4">
      <c r="A2" s="3" t="s">
        <v>305</v>
      </c>
      <c r="B2" s="3"/>
      <c r="C2" s="3"/>
      <c r="D2" s="3"/>
      <c r="E2" s="3"/>
    </row>
    <row r="3" spans="1:5" ht="27.75" x14ac:dyDescent="0.4">
      <c r="A3" s="3" t="s">
        <v>9</v>
      </c>
      <c r="B3" s="3"/>
      <c r="C3" s="3"/>
      <c r="D3" s="3"/>
      <c r="E3" s="3"/>
    </row>
    <row r="4" spans="1:5" ht="53.25" customHeight="1" x14ac:dyDescent="0.4">
      <c r="A4" s="3"/>
      <c r="B4" s="3"/>
      <c r="C4" s="3"/>
      <c r="D4" s="541" t="s">
        <v>548</v>
      </c>
      <c r="E4" s="541"/>
    </row>
    <row r="5" spans="1:5" ht="43.5" customHeight="1" x14ac:dyDescent="0.25">
      <c r="A5" s="545" t="s">
        <v>402</v>
      </c>
      <c r="B5" s="545"/>
      <c r="C5" s="545"/>
      <c r="D5" s="545"/>
      <c r="E5" s="545"/>
    </row>
    <row r="6" spans="1:5" ht="24.95" customHeight="1" x14ac:dyDescent="0.25">
      <c r="A6" s="546" t="s">
        <v>21</v>
      </c>
      <c r="B6" s="546" t="s">
        <v>22</v>
      </c>
      <c r="C6" s="546" t="s">
        <v>36</v>
      </c>
      <c r="D6" s="546" t="s">
        <v>40</v>
      </c>
      <c r="E6" s="546" t="s">
        <v>23</v>
      </c>
    </row>
    <row r="7" spans="1:5" ht="47.25" customHeight="1" x14ac:dyDescent="0.25">
      <c r="A7" s="547"/>
      <c r="B7" s="547"/>
      <c r="C7" s="547"/>
      <c r="D7" s="547"/>
      <c r="E7" s="547"/>
    </row>
    <row r="8" spans="1:5" ht="50.1" customHeight="1" x14ac:dyDescent="0.25">
      <c r="A8" s="540"/>
      <c r="B8" s="136" t="s">
        <v>24</v>
      </c>
      <c r="C8" s="125" t="s">
        <v>255</v>
      </c>
      <c r="D8" s="129" t="s">
        <v>43</v>
      </c>
      <c r="E8" s="185">
        <v>1850</v>
      </c>
    </row>
    <row r="9" spans="1:5" ht="50.1" customHeight="1" x14ac:dyDescent="0.25">
      <c r="A9" s="540"/>
      <c r="B9" s="136" t="s">
        <v>24</v>
      </c>
      <c r="C9" s="125" t="s">
        <v>260</v>
      </c>
      <c r="D9" s="129" t="s">
        <v>44</v>
      </c>
      <c r="E9" s="185">
        <v>2500</v>
      </c>
    </row>
    <row r="10" spans="1:5" ht="50.1" customHeight="1" x14ac:dyDescent="0.25">
      <c r="A10" s="540"/>
      <c r="B10" s="136" t="s">
        <v>25</v>
      </c>
      <c r="C10" s="125" t="s">
        <v>261</v>
      </c>
      <c r="D10" s="129" t="s">
        <v>41</v>
      </c>
      <c r="E10" s="185">
        <v>2800</v>
      </c>
    </row>
    <row r="11" spans="1:5" ht="50.1" customHeight="1" x14ac:dyDescent="0.25">
      <c r="A11" s="540"/>
      <c r="B11" s="136" t="s">
        <v>25</v>
      </c>
      <c r="C11" s="125" t="s">
        <v>262</v>
      </c>
      <c r="D11" s="129" t="s">
        <v>42</v>
      </c>
      <c r="E11" s="185">
        <v>3800</v>
      </c>
    </row>
    <row r="12" spans="1:5" ht="50.1" customHeight="1" x14ac:dyDescent="0.25">
      <c r="A12" s="540"/>
      <c r="B12" s="136" t="s">
        <v>26</v>
      </c>
      <c r="C12" s="129">
        <v>7989</v>
      </c>
      <c r="D12" s="129" t="s">
        <v>43</v>
      </c>
      <c r="E12" s="185">
        <v>1850</v>
      </c>
    </row>
    <row r="13" spans="1:5" ht="50.1" customHeight="1" x14ac:dyDescent="0.25">
      <c r="A13" s="540"/>
      <c r="B13" s="136" t="s">
        <v>26</v>
      </c>
      <c r="C13" s="129">
        <v>7990</v>
      </c>
      <c r="D13" s="129" t="s">
        <v>44</v>
      </c>
      <c r="E13" s="185">
        <v>2500</v>
      </c>
    </row>
    <row r="14" spans="1:5" ht="50.1" customHeight="1" x14ac:dyDescent="0.25">
      <c r="A14" s="540"/>
      <c r="B14" s="137" t="s">
        <v>27</v>
      </c>
      <c r="C14" s="129">
        <v>7991</v>
      </c>
      <c r="D14" s="129" t="s">
        <v>41</v>
      </c>
      <c r="E14" s="185">
        <v>2800</v>
      </c>
    </row>
    <row r="15" spans="1:5" ht="50.1" customHeight="1" x14ac:dyDescent="0.25">
      <c r="A15" s="540"/>
      <c r="B15" s="137" t="s">
        <v>27</v>
      </c>
      <c r="C15" s="129">
        <v>7992</v>
      </c>
      <c r="D15" s="129" t="s">
        <v>42</v>
      </c>
      <c r="E15" s="185">
        <v>3800</v>
      </c>
    </row>
    <row r="16" spans="1:5" ht="50.1" customHeight="1" x14ac:dyDescent="0.25">
      <c r="A16" s="540"/>
      <c r="B16" s="136" t="s">
        <v>28</v>
      </c>
      <c r="C16" s="129">
        <v>7998</v>
      </c>
      <c r="D16" s="129" t="s">
        <v>43</v>
      </c>
      <c r="E16" s="185">
        <v>3500</v>
      </c>
    </row>
    <row r="17" spans="1:5" ht="50.1" customHeight="1" x14ac:dyDescent="0.25">
      <c r="A17" s="540"/>
      <c r="B17" s="136" t="s">
        <v>28</v>
      </c>
      <c r="C17" s="129">
        <v>8802</v>
      </c>
      <c r="D17" s="129" t="s">
        <v>44</v>
      </c>
      <c r="E17" s="185">
        <v>3800</v>
      </c>
    </row>
    <row r="18" spans="1:5" ht="50.1" customHeight="1" x14ac:dyDescent="0.25">
      <c r="A18" s="540"/>
      <c r="B18" s="136" t="s">
        <v>29</v>
      </c>
      <c r="C18" s="129">
        <v>7997</v>
      </c>
      <c r="D18" s="129" t="s">
        <v>41</v>
      </c>
      <c r="E18" s="185">
        <v>3900</v>
      </c>
    </row>
    <row r="19" spans="1:5" ht="50.1" customHeight="1" x14ac:dyDescent="0.25">
      <c r="A19" s="540"/>
      <c r="B19" s="136" t="s">
        <v>29</v>
      </c>
      <c r="C19" s="129">
        <v>8803</v>
      </c>
      <c r="D19" s="129" t="s">
        <v>42</v>
      </c>
      <c r="E19" s="185">
        <v>5600</v>
      </c>
    </row>
    <row r="20" spans="1:5" ht="50.1" customHeight="1" x14ac:dyDescent="0.25">
      <c r="A20" s="540"/>
      <c r="B20" s="136" t="s">
        <v>30</v>
      </c>
      <c r="C20" s="129">
        <v>11753</v>
      </c>
      <c r="D20" s="129" t="s">
        <v>43</v>
      </c>
      <c r="E20" s="185">
        <v>3100</v>
      </c>
    </row>
    <row r="21" spans="1:5" ht="50.1" customHeight="1" x14ac:dyDescent="0.25">
      <c r="A21" s="540"/>
      <c r="B21" s="136" t="s">
        <v>30</v>
      </c>
      <c r="C21" s="129">
        <v>11752</v>
      </c>
      <c r="D21" s="129" t="s">
        <v>44</v>
      </c>
      <c r="E21" s="185">
        <v>3630</v>
      </c>
    </row>
    <row r="22" spans="1:5" ht="50.1" customHeight="1" x14ac:dyDescent="0.25">
      <c r="A22" s="540"/>
      <c r="B22" s="136" t="s">
        <v>31</v>
      </c>
      <c r="C22" s="129">
        <v>7994</v>
      </c>
      <c r="D22" s="129" t="s">
        <v>41</v>
      </c>
      <c r="E22" s="185">
        <v>3850</v>
      </c>
    </row>
    <row r="23" spans="1:5" ht="50.1" customHeight="1" x14ac:dyDescent="0.25">
      <c r="A23" s="540"/>
      <c r="B23" s="136" t="s">
        <v>31</v>
      </c>
      <c r="C23" s="129">
        <v>7993</v>
      </c>
      <c r="D23" s="129" t="s">
        <v>42</v>
      </c>
      <c r="E23" s="185">
        <v>4620</v>
      </c>
    </row>
    <row r="24" spans="1:5" ht="50.1" customHeight="1" x14ac:dyDescent="0.25">
      <c r="A24" s="540"/>
      <c r="B24" s="137" t="s">
        <v>256</v>
      </c>
      <c r="C24" s="129">
        <v>16966</v>
      </c>
      <c r="D24" s="129" t="s">
        <v>43</v>
      </c>
      <c r="E24" s="185">
        <v>1160</v>
      </c>
    </row>
    <row r="25" spans="1:5" ht="50.1" customHeight="1" x14ac:dyDescent="0.25">
      <c r="A25" s="540"/>
      <c r="B25" s="137" t="s">
        <v>257</v>
      </c>
      <c r="C25" s="129">
        <v>16955</v>
      </c>
      <c r="D25" s="129" t="s">
        <v>267</v>
      </c>
      <c r="E25" s="185">
        <v>1230</v>
      </c>
    </row>
    <row r="26" spans="1:5" ht="50.1" customHeight="1" x14ac:dyDescent="0.25">
      <c r="A26" s="540"/>
      <c r="B26" s="137" t="s">
        <v>258</v>
      </c>
      <c r="C26" s="129">
        <v>16957</v>
      </c>
      <c r="D26" s="129" t="s">
        <v>41</v>
      </c>
      <c r="E26" s="185">
        <v>2900</v>
      </c>
    </row>
    <row r="27" spans="1:5" ht="50.1" customHeight="1" x14ac:dyDescent="0.25">
      <c r="A27" s="540"/>
      <c r="B27" s="137" t="s">
        <v>259</v>
      </c>
      <c r="C27" s="129">
        <v>16956</v>
      </c>
      <c r="D27" s="129" t="s">
        <v>42</v>
      </c>
      <c r="E27" s="185">
        <v>2900</v>
      </c>
    </row>
    <row r="28" spans="1:5" ht="50.1" customHeight="1" x14ac:dyDescent="0.25">
      <c r="A28" s="540"/>
      <c r="B28" s="137" t="s">
        <v>263</v>
      </c>
      <c r="C28" s="129">
        <v>16964</v>
      </c>
      <c r="D28" s="129" t="s">
        <v>43</v>
      </c>
      <c r="E28" s="185">
        <v>1160</v>
      </c>
    </row>
    <row r="29" spans="1:5" ht="50.1" customHeight="1" x14ac:dyDescent="0.25">
      <c r="A29" s="540"/>
      <c r="B29" s="137" t="s">
        <v>264</v>
      </c>
      <c r="C29" s="129">
        <v>16948</v>
      </c>
      <c r="D29" s="129" t="s">
        <v>267</v>
      </c>
      <c r="E29" s="185">
        <v>1230</v>
      </c>
    </row>
    <row r="30" spans="1:5" ht="50.1" customHeight="1" x14ac:dyDescent="0.25">
      <c r="A30" s="540"/>
      <c r="B30" s="137" t="s">
        <v>265</v>
      </c>
      <c r="C30" s="129">
        <v>16951</v>
      </c>
      <c r="D30" s="129" t="s">
        <v>41</v>
      </c>
      <c r="E30" s="185">
        <v>2900</v>
      </c>
    </row>
    <row r="31" spans="1:5" ht="50.1" customHeight="1" x14ac:dyDescent="0.25">
      <c r="A31" s="540"/>
      <c r="B31" s="137" t="s">
        <v>266</v>
      </c>
      <c r="C31" s="129">
        <v>16949</v>
      </c>
      <c r="D31" s="129" t="s">
        <v>42</v>
      </c>
      <c r="E31" s="185">
        <v>2900</v>
      </c>
    </row>
    <row r="32" spans="1:5" ht="50.1" customHeight="1" x14ac:dyDescent="0.25">
      <c r="A32" s="540"/>
      <c r="B32" s="137" t="s">
        <v>268</v>
      </c>
      <c r="C32" s="129">
        <v>16965</v>
      </c>
      <c r="D32" s="129" t="s">
        <v>43</v>
      </c>
      <c r="E32" s="185">
        <v>1160</v>
      </c>
    </row>
    <row r="33" spans="1:5" ht="50.1" customHeight="1" x14ac:dyDescent="0.25">
      <c r="A33" s="540"/>
      <c r="B33" s="137" t="s">
        <v>270</v>
      </c>
      <c r="C33" s="129">
        <v>16952</v>
      </c>
      <c r="D33" s="129" t="s">
        <v>267</v>
      </c>
      <c r="E33" s="185">
        <v>1230</v>
      </c>
    </row>
    <row r="34" spans="1:5" ht="50.1" customHeight="1" x14ac:dyDescent="0.25">
      <c r="A34" s="540"/>
      <c r="B34" s="137" t="s">
        <v>269</v>
      </c>
      <c r="C34" s="129">
        <v>16954</v>
      </c>
      <c r="D34" s="129" t="s">
        <v>41</v>
      </c>
      <c r="E34" s="185">
        <v>2900</v>
      </c>
    </row>
    <row r="35" spans="1:5" ht="50.1" customHeight="1" x14ac:dyDescent="0.25">
      <c r="A35" s="540"/>
      <c r="B35" s="137" t="s">
        <v>271</v>
      </c>
      <c r="C35" s="129">
        <v>16953</v>
      </c>
      <c r="D35" s="129" t="s">
        <v>42</v>
      </c>
      <c r="E35" s="185">
        <v>2900</v>
      </c>
    </row>
    <row r="36" spans="1:5" ht="50.1" customHeight="1" x14ac:dyDescent="0.25">
      <c r="A36" s="540"/>
      <c r="B36" s="137" t="s">
        <v>273</v>
      </c>
      <c r="C36" s="129">
        <v>16967</v>
      </c>
      <c r="D36" s="129" t="s">
        <v>43</v>
      </c>
      <c r="E36" s="185">
        <v>1160</v>
      </c>
    </row>
    <row r="37" spans="1:5" ht="50.1" customHeight="1" x14ac:dyDescent="0.25">
      <c r="A37" s="540"/>
      <c r="B37" s="137" t="s">
        <v>274</v>
      </c>
      <c r="C37" s="129">
        <v>16958</v>
      </c>
      <c r="D37" s="129" t="s">
        <v>267</v>
      </c>
      <c r="E37" s="185">
        <v>1230</v>
      </c>
    </row>
    <row r="38" spans="1:5" ht="50.1" customHeight="1" x14ac:dyDescent="0.25">
      <c r="A38" s="540"/>
      <c r="B38" s="137" t="s">
        <v>275</v>
      </c>
      <c r="C38" s="129">
        <v>16960</v>
      </c>
      <c r="D38" s="129" t="s">
        <v>41</v>
      </c>
      <c r="E38" s="185">
        <v>2900</v>
      </c>
    </row>
    <row r="39" spans="1:5" ht="50.1" customHeight="1" x14ac:dyDescent="0.25">
      <c r="A39" s="540"/>
      <c r="B39" s="137" t="s">
        <v>276</v>
      </c>
      <c r="C39" s="129">
        <v>16959</v>
      </c>
      <c r="D39" s="129" t="s">
        <v>42</v>
      </c>
      <c r="E39" s="185">
        <v>2900</v>
      </c>
    </row>
    <row r="40" spans="1:5" ht="50.1" customHeight="1" x14ac:dyDescent="0.25">
      <c r="A40" s="540"/>
      <c r="B40" s="137" t="s">
        <v>278</v>
      </c>
      <c r="C40" s="129">
        <v>16968</v>
      </c>
      <c r="D40" s="129" t="s">
        <v>43</v>
      </c>
      <c r="E40" s="185">
        <v>1160</v>
      </c>
    </row>
    <row r="41" spans="1:5" ht="50.1" customHeight="1" x14ac:dyDescent="0.25">
      <c r="A41" s="540"/>
      <c r="B41" s="137" t="s">
        <v>277</v>
      </c>
      <c r="C41" s="129">
        <v>16961</v>
      </c>
      <c r="D41" s="129" t="s">
        <v>267</v>
      </c>
      <c r="E41" s="185">
        <v>1230</v>
      </c>
    </row>
    <row r="42" spans="1:5" ht="50.1" customHeight="1" x14ac:dyDescent="0.25">
      <c r="A42" s="540"/>
      <c r="B42" s="137" t="s">
        <v>279</v>
      </c>
      <c r="C42" s="129">
        <v>16963</v>
      </c>
      <c r="D42" s="129" t="s">
        <v>41</v>
      </c>
      <c r="E42" s="185">
        <v>2900</v>
      </c>
    </row>
    <row r="43" spans="1:5" ht="50.1" customHeight="1" x14ac:dyDescent="0.25">
      <c r="A43" s="540"/>
      <c r="B43" s="137" t="s">
        <v>280</v>
      </c>
      <c r="C43" s="129">
        <v>16962</v>
      </c>
      <c r="D43" s="129" t="s">
        <v>42</v>
      </c>
      <c r="E43" s="185">
        <v>2900</v>
      </c>
    </row>
    <row r="44" spans="1:5" ht="50.1" customHeight="1" x14ac:dyDescent="0.25">
      <c r="A44" s="138"/>
      <c r="B44" s="139" t="s">
        <v>287</v>
      </c>
      <c r="C44" s="129">
        <v>16969</v>
      </c>
      <c r="D44" s="138"/>
      <c r="E44" s="185">
        <v>1200</v>
      </c>
    </row>
    <row r="45" spans="1:5" ht="50.1" customHeight="1" x14ac:dyDescent="0.25">
      <c r="A45" s="542" t="s">
        <v>272</v>
      </c>
      <c r="B45" s="543"/>
      <c r="C45" s="543"/>
      <c r="D45" s="543"/>
      <c r="E45" s="544"/>
    </row>
    <row r="46" spans="1:5" ht="24.4" customHeight="1" x14ac:dyDescent="0.25"/>
    <row r="47" spans="1:5" ht="24.4" customHeight="1" x14ac:dyDescent="0.25"/>
    <row r="48" spans="1:5" ht="32.25" customHeight="1" x14ac:dyDescent="0.25"/>
    <row r="49" ht="32.25" customHeight="1" x14ac:dyDescent="0.25"/>
    <row r="50" ht="35.25" customHeight="1" x14ac:dyDescent="0.25"/>
    <row r="51" ht="34.5" customHeight="1" x14ac:dyDescent="0.25"/>
  </sheetData>
  <mergeCells count="17">
    <mergeCell ref="A45:E45"/>
    <mergeCell ref="A40:A43"/>
    <mergeCell ref="A5:E5"/>
    <mergeCell ref="E6:E7"/>
    <mergeCell ref="A6:A7"/>
    <mergeCell ref="B6:B7"/>
    <mergeCell ref="D6:D7"/>
    <mergeCell ref="C6:C7"/>
    <mergeCell ref="A8:A11"/>
    <mergeCell ref="A12:A15"/>
    <mergeCell ref="A16:A19"/>
    <mergeCell ref="A20:A23"/>
    <mergeCell ref="A24:A27"/>
    <mergeCell ref="D4:E4"/>
    <mergeCell ref="A28:A31"/>
    <mergeCell ref="A32:A35"/>
    <mergeCell ref="A36:A39"/>
  </mergeCells>
  <pageMargins left="0" right="0" top="0" bottom="0" header="0" footer="0"/>
  <pageSetup paperSize="9" scale="3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32"/>
  <sheetViews>
    <sheetView zoomScale="50" zoomScaleNormal="50" workbookViewId="0">
      <selection activeCell="P6" sqref="P6"/>
    </sheetView>
  </sheetViews>
  <sheetFormatPr defaultRowHeight="15" x14ac:dyDescent="0.25"/>
  <cols>
    <col min="1" max="1" width="24" customWidth="1"/>
    <col min="2" max="2" width="54.7109375" customWidth="1"/>
    <col min="3" max="3" width="29.85546875" customWidth="1"/>
    <col min="4" max="5" width="13.7109375" customWidth="1"/>
    <col min="6" max="6" width="1.7109375" customWidth="1"/>
    <col min="7" max="7" width="25.7109375" customWidth="1"/>
    <col min="8" max="8" width="60.7109375" customWidth="1"/>
    <col min="9" max="9" width="29.7109375" customWidth="1"/>
    <col min="10" max="11" width="13.7109375" customWidth="1"/>
  </cols>
  <sheetData>
    <row r="1" spans="1:11" ht="27.75" x14ac:dyDescent="0.4">
      <c r="A1" s="3" t="s">
        <v>76</v>
      </c>
      <c r="B1" s="3"/>
      <c r="C1" s="3"/>
      <c r="D1" s="3"/>
      <c r="E1" s="3"/>
      <c r="F1" s="3"/>
    </row>
    <row r="2" spans="1:11" ht="27.75" x14ac:dyDescent="0.4">
      <c r="A2" s="3" t="s">
        <v>305</v>
      </c>
      <c r="B2" s="3"/>
      <c r="C2" s="3"/>
      <c r="D2" s="3"/>
      <c r="E2" s="3"/>
      <c r="F2" s="3"/>
    </row>
    <row r="3" spans="1:11" ht="27.75" x14ac:dyDescent="0.4">
      <c r="A3" s="3" t="s">
        <v>9</v>
      </c>
      <c r="B3" s="3"/>
      <c r="C3" s="3"/>
      <c r="D3" s="3"/>
      <c r="E3" s="3"/>
      <c r="F3" s="3"/>
    </row>
    <row r="4" spans="1:11" ht="0.75" customHeight="1" x14ac:dyDescent="0.4">
      <c r="A4" s="3"/>
      <c r="B4" s="3"/>
      <c r="C4" s="3"/>
      <c r="D4" s="3"/>
      <c r="E4" s="3"/>
      <c r="F4" s="3"/>
    </row>
    <row r="5" spans="1:11" ht="60" customHeight="1" x14ac:dyDescent="0.45">
      <c r="A5" s="551" t="s">
        <v>35</v>
      </c>
      <c r="B5" s="551"/>
      <c r="C5" s="551"/>
      <c r="D5" s="551"/>
      <c r="E5" s="551"/>
      <c r="F5" s="551"/>
      <c r="G5" s="551"/>
      <c r="H5" s="551"/>
      <c r="I5" s="551"/>
      <c r="J5" s="551"/>
      <c r="K5" s="551"/>
    </row>
    <row r="6" spans="1:11" ht="125.1" customHeight="1" x14ac:dyDescent="0.25">
      <c r="A6" s="141" t="s">
        <v>36</v>
      </c>
      <c r="B6" s="141" t="s">
        <v>409</v>
      </c>
      <c r="C6" s="150" t="s">
        <v>408</v>
      </c>
      <c r="D6" s="549" t="s">
        <v>407</v>
      </c>
      <c r="E6" s="550"/>
      <c r="F6" s="552"/>
      <c r="G6" s="141" t="s">
        <v>36</v>
      </c>
      <c r="H6" s="141" t="s">
        <v>409</v>
      </c>
      <c r="I6" s="150" t="s">
        <v>408</v>
      </c>
      <c r="J6" s="549" t="s">
        <v>407</v>
      </c>
      <c r="K6" s="550"/>
    </row>
    <row r="7" spans="1:11" ht="125.1" customHeight="1" x14ac:dyDescent="0.4">
      <c r="A7" s="128" t="s">
        <v>37</v>
      </c>
      <c r="B7" s="130"/>
      <c r="C7" s="140" t="s">
        <v>202</v>
      </c>
      <c r="D7" s="548">
        <v>392</v>
      </c>
      <c r="E7" s="548"/>
      <c r="F7" s="553"/>
      <c r="G7" s="128" t="s">
        <v>113</v>
      </c>
      <c r="H7" s="130"/>
      <c r="I7" s="142" t="s">
        <v>214</v>
      </c>
      <c r="J7" s="548">
        <v>2760</v>
      </c>
      <c r="K7" s="548"/>
    </row>
    <row r="8" spans="1:11" ht="125.1" customHeight="1" x14ac:dyDescent="0.4">
      <c r="A8" s="128" t="s">
        <v>38</v>
      </c>
      <c r="B8" s="130"/>
      <c r="C8" s="140" t="s">
        <v>203</v>
      </c>
      <c r="D8" s="548">
        <v>574</v>
      </c>
      <c r="E8" s="548"/>
      <c r="F8" s="553"/>
      <c r="G8" s="128" t="s">
        <v>95</v>
      </c>
      <c r="H8" s="130"/>
      <c r="I8" s="140" t="s">
        <v>215</v>
      </c>
      <c r="J8" s="548">
        <v>548</v>
      </c>
      <c r="K8" s="548"/>
    </row>
    <row r="9" spans="1:11" ht="125.1" customHeight="1" x14ac:dyDescent="0.4">
      <c r="A9" s="128" t="s">
        <v>98</v>
      </c>
      <c r="B9" s="130"/>
      <c r="C9" s="140" t="s">
        <v>204</v>
      </c>
      <c r="D9" s="548">
        <v>342</v>
      </c>
      <c r="E9" s="548"/>
      <c r="F9" s="553"/>
      <c r="G9" s="128" t="s">
        <v>96</v>
      </c>
      <c r="H9" s="130"/>
      <c r="I9" s="140" t="s">
        <v>216</v>
      </c>
      <c r="J9" s="548">
        <v>488</v>
      </c>
      <c r="K9" s="548"/>
    </row>
    <row r="10" spans="1:11" ht="125.1" customHeight="1" x14ac:dyDescent="0.4">
      <c r="A10" s="126" t="s">
        <v>89</v>
      </c>
      <c r="B10" s="130"/>
      <c r="C10" s="140" t="s">
        <v>205</v>
      </c>
      <c r="D10" s="548">
        <v>178</v>
      </c>
      <c r="E10" s="548"/>
      <c r="F10" s="553"/>
      <c r="G10" s="128" t="s">
        <v>110</v>
      </c>
      <c r="H10" s="130"/>
      <c r="I10" s="140" t="s">
        <v>217</v>
      </c>
      <c r="J10" s="548">
        <v>2230</v>
      </c>
      <c r="K10" s="548"/>
    </row>
    <row r="11" spans="1:11" ht="125.1" customHeight="1" x14ac:dyDescent="0.4">
      <c r="A11" s="126" t="s">
        <v>90</v>
      </c>
      <c r="B11" s="130"/>
      <c r="C11" s="140" t="s">
        <v>206</v>
      </c>
      <c r="D11" s="548">
        <v>246</v>
      </c>
      <c r="E11" s="548"/>
      <c r="F11" s="553"/>
      <c r="G11" s="128" t="s">
        <v>111</v>
      </c>
      <c r="H11" s="130"/>
      <c r="I11" s="140" t="s">
        <v>218</v>
      </c>
      <c r="J11" s="548">
        <v>920</v>
      </c>
      <c r="K11" s="548"/>
    </row>
    <row r="12" spans="1:11" ht="125.1" customHeight="1" x14ac:dyDescent="0.4">
      <c r="A12" s="126" t="s">
        <v>91</v>
      </c>
      <c r="B12" s="130"/>
      <c r="C12" s="140" t="s">
        <v>207</v>
      </c>
      <c r="D12" s="548">
        <v>214</v>
      </c>
      <c r="E12" s="548"/>
      <c r="F12" s="553"/>
      <c r="G12" s="128" t="s">
        <v>112</v>
      </c>
      <c r="H12" s="130"/>
      <c r="I12" s="140" t="s">
        <v>219</v>
      </c>
      <c r="J12" s="548">
        <v>1108</v>
      </c>
      <c r="K12" s="548"/>
    </row>
    <row r="13" spans="1:11" ht="125.1" customHeight="1" x14ac:dyDescent="0.4">
      <c r="A13" s="126" t="s">
        <v>92</v>
      </c>
      <c r="B13" s="130"/>
      <c r="C13" s="140" t="s">
        <v>208</v>
      </c>
      <c r="D13" s="548">
        <v>210</v>
      </c>
      <c r="E13" s="548"/>
      <c r="F13" s="553"/>
      <c r="G13" s="128" t="s">
        <v>114</v>
      </c>
      <c r="H13" s="127"/>
      <c r="I13" s="140" t="s">
        <v>220</v>
      </c>
      <c r="J13" s="548">
        <v>1056</v>
      </c>
      <c r="K13" s="548"/>
    </row>
    <row r="14" spans="1:11" ht="125.1" customHeight="1" x14ac:dyDescent="0.4">
      <c r="A14" s="126" t="s">
        <v>97</v>
      </c>
      <c r="B14" s="130"/>
      <c r="C14" s="140" t="s">
        <v>209</v>
      </c>
      <c r="D14" s="548">
        <v>1062</v>
      </c>
      <c r="E14" s="548"/>
      <c r="F14" s="553"/>
      <c r="G14" s="128" t="s">
        <v>115</v>
      </c>
      <c r="H14" s="127"/>
      <c r="I14" s="140" t="s">
        <v>221</v>
      </c>
      <c r="J14" s="548">
        <v>432</v>
      </c>
      <c r="K14" s="548"/>
    </row>
    <row r="15" spans="1:11" ht="125.1" customHeight="1" x14ac:dyDescent="0.4">
      <c r="A15" s="126" t="s">
        <v>99</v>
      </c>
      <c r="B15" s="130"/>
      <c r="C15" s="140" t="s">
        <v>210</v>
      </c>
      <c r="D15" s="548">
        <v>339</v>
      </c>
      <c r="E15" s="548"/>
      <c r="F15" s="553"/>
      <c r="G15" s="128" t="s">
        <v>116</v>
      </c>
      <c r="H15" s="127"/>
      <c r="I15" s="140" t="s">
        <v>222</v>
      </c>
      <c r="J15" s="548">
        <v>252</v>
      </c>
      <c r="K15" s="548"/>
    </row>
    <row r="16" spans="1:11" ht="125.1" customHeight="1" x14ac:dyDescent="0.4">
      <c r="A16" s="128" t="s">
        <v>93</v>
      </c>
      <c r="B16" s="130"/>
      <c r="C16" s="140" t="s">
        <v>211</v>
      </c>
      <c r="D16" s="548">
        <v>682</v>
      </c>
      <c r="E16" s="548"/>
      <c r="F16" s="553"/>
      <c r="G16" s="128" t="s">
        <v>187</v>
      </c>
      <c r="H16" s="127"/>
      <c r="I16" s="140" t="s">
        <v>223</v>
      </c>
      <c r="J16" s="548">
        <v>1440</v>
      </c>
      <c r="K16" s="548"/>
    </row>
    <row r="17" spans="1:11" ht="125.1" customHeight="1" x14ac:dyDescent="0.4">
      <c r="A17" s="128" t="s">
        <v>94</v>
      </c>
      <c r="B17" s="130"/>
      <c r="C17" s="140" t="s">
        <v>212</v>
      </c>
      <c r="D17" s="548">
        <v>214</v>
      </c>
      <c r="E17" s="548"/>
      <c r="F17" s="553"/>
      <c r="G17" s="84" t="s">
        <v>405</v>
      </c>
      <c r="H17" s="127"/>
      <c r="I17" s="140" t="s">
        <v>224</v>
      </c>
      <c r="J17" s="548">
        <v>402</v>
      </c>
      <c r="K17" s="548"/>
    </row>
    <row r="18" spans="1:11" ht="125.1" customHeight="1" x14ac:dyDescent="0.4">
      <c r="A18" s="84" t="s">
        <v>403</v>
      </c>
      <c r="B18" s="130"/>
      <c r="C18" s="140" t="s">
        <v>213</v>
      </c>
      <c r="D18" s="548">
        <v>390</v>
      </c>
      <c r="E18" s="548"/>
      <c r="F18" s="553"/>
      <c r="G18" s="84" t="s">
        <v>406</v>
      </c>
      <c r="H18" s="127"/>
      <c r="I18" s="140" t="s">
        <v>224</v>
      </c>
      <c r="J18" s="548">
        <v>402</v>
      </c>
      <c r="K18" s="548"/>
    </row>
    <row r="19" spans="1:11" ht="125.1" customHeight="1" x14ac:dyDescent="0.4">
      <c r="A19" s="84" t="s">
        <v>404</v>
      </c>
      <c r="B19" s="130"/>
      <c r="C19" s="142" t="s">
        <v>213</v>
      </c>
      <c r="D19" s="548">
        <v>390</v>
      </c>
      <c r="E19" s="548"/>
      <c r="F19" s="554"/>
      <c r="G19" s="128" t="s">
        <v>189</v>
      </c>
      <c r="H19" s="127"/>
      <c r="I19" s="140" t="s">
        <v>225</v>
      </c>
      <c r="J19" s="548">
        <v>304</v>
      </c>
      <c r="K19" s="548"/>
    </row>
    <row r="20" spans="1:11" ht="120" customHeight="1" x14ac:dyDescent="0.25"/>
    <row r="21" spans="1:11" ht="120" customHeight="1" x14ac:dyDescent="0.25"/>
    <row r="22" spans="1:11" ht="120" customHeight="1" x14ac:dyDescent="0.25"/>
    <row r="23" spans="1:11" ht="120" customHeight="1" x14ac:dyDescent="0.25"/>
    <row r="24" spans="1:11" ht="120" customHeight="1" x14ac:dyDescent="0.25"/>
    <row r="25" spans="1:11" ht="120" customHeight="1" x14ac:dyDescent="0.25"/>
    <row r="26" spans="1:11" ht="104.25" customHeight="1" x14ac:dyDescent="0.25"/>
    <row r="27" spans="1:11" ht="112.5" customHeight="1" x14ac:dyDescent="0.25"/>
    <row r="28" spans="1:11" ht="124.5" customHeight="1" x14ac:dyDescent="0.25"/>
    <row r="29" spans="1:11" ht="124.5" customHeight="1" x14ac:dyDescent="0.25"/>
    <row r="30" spans="1:11" ht="124.5" customHeight="1" x14ac:dyDescent="0.25"/>
    <row r="31" spans="1:11" ht="124.5" customHeight="1" x14ac:dyDescent="0.25"/>
    <row r="32" spans="1:11" ht="124.5" customHeight="1" x14ac:dyDescent="0.25"/>
  </sheetData>
  <mergeCells count="30">
    <mergeCell ref="A5:K5"/>
    <mergeCell ref="J16:K16"/>
    <mergeCell ref="J17:K17"/>
    <mergeCell ref="J18:K18"/>
    <mergeCell ref="J9:K9"/>
    <mergeCell ref="D11:E11"/>
    <mergeCell ref="D12:E12"/>
    <mergeCell ref="D13:E13"/>
    <mergeCell ref="D14:E14"/>
    <mergeCell ref="D15:E15"/>
    <mergeCell ref="D16:E16"/>
    <mergeCell ref="D17:E17"/>
    <mergeCell ref="D18:E18"/>
    <mergeCell ref="F6:F19"/>
    <mergeCell ref="D19:E19"/>
    <mergeCell ref="J7:K7"/>
    <mergeCell ref="J8:K8"/>
    <mergeCell ref="D10:E10"/>
    <mergeCell ref="D6:E6"/>
    <mergeCell ref="D7:E7"/>
    <mergeCell ref="D8:E8"/>
    <mergeCell ref="D9:E9"/>
    <mergeCell ref="J6:K6"/>
    <mergeCell ref="J19:K19"/>
    <mergeCell ref="J10:K10"/>
    <mergeCell ref="J11:K11"/>
    <mergeCell ref="J12:K12"/>
    <mergeCell ref="J13:K13"/>
    <mergeCell ref="J14:K14"/>
    <mergeCell ref="J15:K15"/>
  </mergeCells>
  <printOptions horizontalCentered="1"/>
  <pageMargins left="0" right="0" top="0" bottom="0" header="0" footer="0"/>
  <pageSetup paperSize="9" scale="3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ПВХ</vt:lpstr>
      <vt:lpstr>Эмаль</vt:lpstr>
      <vt:lpstr>Радиусные фасады ПВХ</vt:lpstr>
      <vt:lpstr>Радиусные фасады Эмаль</vt:lpstr>
      <vt:lpstr>Колонны декоративные</vt:lpstr>
      <vt:lpstr>Карнизы декоративные</vt:lpstr>
      <vt:lpstr>балюстрады и решетки</vt:lpstr>
      <vt:lpstr>витражи</vt:lpstr>
      <vt:lpstr>Декоры пвх </vt:lpstr>
      <vt:lpstr>Профиль</vt:lpstr>
      <vt:lpstr>гнутоклеенные</vt:lpstr>
      <vt:lpstr>Фрезерованные рисунки</vt:lpstr>
      <vt:lpstr>дверные накладки и комби</vt:lpstr>
      <vt:lpstr>Типы фасадов "Премиум"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2021-04-29T09:37:45Z</dcterms:modified>
</cp:coreProperties>
</file>