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960" yWindow="11355" windowWidth="20730" windowHeight="11760" activeTab="1"/>
  </bookViews>
  <sheets>
    <sheet name="Раздвижные двери" sheetId="1" r:id="rId1"/>
    <sheet name="Эконом" sheetId="4" r:id="rId2"/>
    <sheet name="Средняя рамка" sheetId="5" r:id="rId3"/>
    <sheet name="Микс Основная система" sheetId="6" r:id="rId4"/>
    <sheet name="списки" sheetId="8" state="hidden" r:id="rId5"/>
  </sheets>
  <definedNames>
    <definedName name="наполнение">списки!$B$1:$B$3</definedName>
    <definedName name="ручка">списки!$A$1:$A$2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" l="1"/>
  <c r="X14" i="1"/>
  <c r="X13" i="1"/>
  <c r="X12" i="1"/>
  <c r="H11" i="6"/>
  <c r="H10" i="6"/>
  <c r="H9" i="6"/>
  <c r="H8" i="6"/>
  <c r="H7" i="6"/>
  <c r="H6" i="6"/>
  <c r="H4" i="6"/>
  <c r="E4" i="6"/>
  <c r="B13" i="6"/>
  <c r="B14" i="6"/>
  <c r="G4" i="6"/>
  <c r="E7" i="6"/>
  <c r="C7" i="6"/>
  <c r="B12" i="6"/>
  <c r="B11" i="6"/>
  <c r="B17" i="6"/>
  <c r="B15" i="6"/>
  <c r="B16" i="6"/>
  <c r="B18" i="6"/>
  <c r="M6" i="4"/>
  <c r="L6" i="4"/>
  <c r="K6" i="4"/>
  <c r="J6" i="4"/>
  <c r="I6" i="4"/>
  <c r="G6" i="4"/>
  <c r="F6" i="4"/>
  <c r="E6" i="4"/>
  <c r="D6" i="4"/>
  <c r="C6" i="4"/>
  <c r="M16" i="4"/>
  <c r="L16" i="4"/>
  <c r="K16" i="4"/>
  <c r="J16" i="4"/>
  <c r="I16" i="4"/>
  <c r="G16" i="4"/>
  <c r="F16" i="4"/>
  <c r="E16" i="4"/>
  <c r="D16" i="4"/>
  <c r="C16" i="4"/>
  <c r="M15" i="4"/>
  <c r="L15" i="4"/>
  <c r="K15" i="4"/>
  <c r="J15" i="4"/>
  <c r="I15" i="4"/>
  <c r="G15" i="4"/>
  <c r="F15" i="4"/>
  <c r="E15" i="4"/>
  <c r="D15" i="4"/>
  <c r="C15" i="4"/>
  <c r="M11" i="4"/>
  <c r="M14" i="4"/>
  <c r="G11" i="4"/>
  <c r="G12" i="4"/>
  <c r="L10" i="4"/>
  <c r="L13" i="4"/>
  <c r="F10" i="4"/>
  <c r="F21" i="4"/>
  <c r="K9" i="4"/>
  <c r="K12" i="4"/>
  <c r="E9" i="4"/>
  <c r="E17" i="4"/>
  <c r="J8" i="4"/>
  <c r="J19" i="4"/>
  <c r="D8" i="4"/>
  <c r="D17" i="4"/>
  <c r="I7" i="4"/>
  <c r="I12" i="4"/>
  <c r="C7" i="4"/>
  <c r="C12" i="4"/>
  <c r="I20" i="4"/>
  <c r="I22" i="4"/>
  <c r="I18" i="4"/>
  <c r="J20" i="4"/>
  <c r="J18" i="4"/>
  <c r="J22" i="4"/>
  <c r="K22" i="4"/>
  <c r="K20" i="4"/>
  <c r="K18" i="4"/>
  <c r="E20" i="4"/>
  <c r="E22" i="4"/>
  <c r="E18" i="4"/>
  <c r="F20" i="4"/>
  <c r="F18" i="4"/>
  <c r="F22" i="4"/>
  <c r="G18" i="4"/>
  <c r="G22" i="4"/>
  <c r="G20" i="4"/>
  <c r="C22" i="4"/>
  <c r="C18" i="4"/>
  <c r="C20" i="4"/>
  <c r="L22" i="4"/>
  <c r="L20" i="4"/>
  <c r="L18" i="4"/>
  <c r="D22" i="4"/>
  <c r="D18" i="4"/>
  <c r="D20" i="4"/>
  <c r="M22" i="4"/>
  <c r="M20" i="4"/>
  <c r="M18" i="4"/>
  <c r="L21" i="4"/>
  <c r="L12" i="4"/>
  <c r="F13" i="4"/>
  <c r="D13" i="4"/>
  <c r="I14" i="4"/>
  <c r="F17" i="4"/>
  <c r="J14" i="4"/>
  <c r="L17" i="4"/>
  <c r="L14" i="4"/>
  <c r="L19" i="4"/>
  <c r="F12" i="4"/>
  <c r="J21" i="4"/>
  <c r="C13" i="4"/>
  <c r="G17" i="4"/>
  <c r="G13" i="4"/>
  <c r="J12" i="4"/>
  <c r="M17" i="4"/>
  <c r="M13" i="4"/>
  <c r="G19" i="4"/>
  <c r="F14" i="4"/>
  <c r="I19" i="4"/>
  <c r="G21" i="4"/>
  <c r="M12" i="4"/>
  <c r="G14" i="4"/>
  <c r="I21" i="4"/>
  <c r="K17" i="4"/>
  <c r="K13" i="4"/>
  <c r="K14" i="4"/>
  <c r="K21" i="4"/>
  <c r="D14" i="4"/>
  <c r="D21" i="4"/>
  <c r="D19" i="4"/>
  <c r="E21" i="4"/>
  <c r="E19" i="4"/>
  <c r="E13" i="4"/>
  <c r="J13" i="4"/>
  <c r="J17" i="4"/>
  <c r="D12" i="4"/>
  <c r="E14" i="4"/>
  <c r="K19" i="4"/>
  <c r="C14" i="4"/>
  <c r="C21" i="4"/>
  <c r="C19" i="4"/>
  <c r="E12" i="4"/>
  <c r="C17" i="4"/>
  <c r="I13" i="4"/>
  <c r="M19" i="4"/>
  <c r="M21" i="4"/>
  <c r="I17" i="4"/>
  <c r="F19" i="4"/>
  <c r="AG7" i="1"/>
  <c r="AG14" i="1"/>
  <c r="AH8" i="1"/>
  <c r="AH13" i="1"/>
  <c r="AI9" i="1"/>
  <c r="AI13" i="1"/>
  <c r="AJ10" i="1"/>
  <c r="AJ14" i="1"/>
  <c r="AK11" i="1"/>
  <c r="AK13" i="1"/>
  <c r="AE11" i="1"/>
  <c r="AE13" i="1"/>
  <c r="AD10" i="1"/>
  <c r="AD13" i="1"/>
  <c r="AC9" i="1"/>
  <c r="AC13" i="1"/>
  <c r="AB8" i="1"/>
  <c r="AB13" i="1"/>
  <c r="AA7" i="1"/>
  <c r="AA21" i="1"/>
  <c r="AK16" i="1"/>
  <c r="AJ16" i="1"/>
  <c r="AI16" i="1"/>
  <c r="AH16" i="1"/>
  <c r="AG16" i="1"/>
  <c r="AE16" i="1"/>
  <c r="AD16" i="1"/>
  <c r="AC16" i="1"/>
  <c r="AB16" i="1"/>
  <c r="AA16" i="1"/>
  <c r="AK15" i="1"/>
  <c r="AJ15" i="1"/>
  <c r="AI15" i="1"/>
  <c r="AH15" i="1"/>
  <c r="AG15" i="1"/>
  <c r="AE15" i="1"/>
  <c r="AD15" i="1"/>
  <c r="AC15" i="1"/>
  <c r="AB15" i="1"/>
  <c r="AA15" i="1"/>
  <c r="AK6" i="1"/>
  <c r="AK22" i="1"/>
  <c r="AJ6" i="1"/>
  <c r="AJ22" i="1"/>
  <c r="AI6" i="1"/>
  <c r="AI22" i="1"/>
  <c r="AH6" i="1"/>
  <c r="AH22" i="1"/>
  <c r="AG6" i="1"/>
  <c r="AG22" i="1"/>
  <c r="AE6" i="1"/>
  <c r="AE22" i="1"/>
  <c r="AD6" i="1"/>
  <c r="AD22" i="1"/>
  <c r="AC6" i="1"/>
  <c r="AC22" i="1"/>
  <c r="AB6" i="1"/>
  <c r="AB22" i="1"/>
  <c r="AA6" i="1"/>
  <c r="AA22" i="1"/>
  <c r="Y11" i="1"/>
  <c r="Y13" i="1"/>
  <c r="X21" i="1"/>
  <c r="W9" i="1"/>
  <c r="W13" i="1"/>
  <c r="V8" i="1"/>
  <c r="V21" i="1"/>
  <c r="U7" i="1"/>
  <c r="U19" i="1"/>
  <c r="S11" i="1"/>
  <c r="S21" i="1"/>
  <c r="Q9" i="1"/>
  <c r="Q21" i="1"/>
  <c r="P8" i="1"/>
  <c r="P14" i="1"/>
  <c r="R10" i="1"/>
  <c r="R13" i="1"/>
  <c r="O7" i="1"/>
  <c r="O21" i="1"/>
  <c r="Y16" i="1"/>
  <c r="X16" i="1"/>
  <c r="W16" i="1"/>
  <c r="V16" i="1"/>
  <c r="U16" i="1"/>
  <c r="Y15" i="1"/>
  <c r="X15" i="1"/>
  <c r="W15" i="1"/>
  <c r="V15" i="1"/>
  <c r="U15" i="1"/>
  <c r="S16" i="1"/>
  <c r="R16" i="1"/>
  <c r="Q16" i="1"/>
  <c r="P16" i="1"/>
  <c r="O16" i="1"/>
  <c r="S15" i="1"/>
  <c r="R15" i="1"/>
  <c r="Q15" i="1"/>
  <c r="P15" i="1"/>
  <c r="O15" i="1"/>
  <c r="V6" i="1"/>
  <c r="V20" i="1"/>
  <c r="W6" i="1"/>
  <c r="W22" i="1"/>
  <c r="X6" i="1"/>
  <c r="X20" i="1"/>
  <c r="Y6" i="1"/>
  <c r="Y22" i="1"/>
  <c r="U6" i="1"/>
  <c r="U20" i="1"/>
  <c r="P6" i="1"/>
  <c r="P20" i="1"/>
  <c r="Q6" i="1"/>
  <c r="Q22" i="1"/>
  <c r="R6" i="1"/>
  <c r="R20" i="1"/>
  <c r="S6" i="1"/>
  <c r="S22" i="1"/>
  <c r="O6" i="1"/>
  <c r="O20" i="1"/>
  <c r="M16" i="1"/>
  <c r="L16" i="1"/>
  <c r="K16" i="1"/>
  <c r="J16" i="1"/>
  <c r="I16" i="1"/>
  <c r="M15" i="1"/>
  <c r="L15" i="1"/>
  <c r="K15" i="1"/>
  <c r="J15" i="1"/>
  <c r="I15" i="1"/>
  <c r="D16" i="1"/>
  <c r="E16" i="1"/>
  <c r="F16" i="1"/>
  <c r="G16" i="1"/>
  <c r="C16" i="1"/>
  <c r="D15" i="1"/>
  <c r="E15" i="1"/>
  <c r="F15" i="1"/>
  <c r="G15" i="1"/>
  <c r="C15" i="1"/>
  <c r="M11" i="1"/>
  <c r="M14" i="1"/>
  <c r="L10" i="1"/>
  <c r="L21" i="1"/>
  <c r="K9" i="1"/>
  <c r="K14" i="1"/>
  <c r="J8" i="1"/>
  <c r="J21" i="1"/>
  <c r="I7" i="1"/>
  <c r="I12" i="1"/>
  <c r="G11" i="1"/>
  <c r="G21" i="1"/>
  <c r="F10" i="1"/>
  <c r="F19" i="1"/>
  <c r="E9" i="1"/>
  <c r="E21" i="1"/>
  <c r="D8" i="1"/>
  <c r="D19" i="1"/>
  <c r="K6" i="1"/>
  <c r="K22" i="1"/>
  <c r="L6" i="1"/>
  <c r="L22" i="1"/>
  <c r="M6" i="1"/>
  <c r="M22" i="1"/>
  <c r="J6" i="1"/>
  <c r="J22" i="1"/>
  <c r="I6" i="1"/>
  <c r="I22" i="1"/>
  <c r="G6" i="1"/>
  <c r="G22" i="1"/>
  <c r="F6" i="1"/>
  <c r="F22" i="1"/>
  <c r="E6" i="1"/>
  <c r="E22" i="1"/>
  <c r="D6" i="1"/>
  <c r="D22" i="1"/>
  <c r="C7" i="1"/>
  <c r="C21" i="1"/>
  <c r="C6" i="1"/>
  <c r="C20" i="1"/>
  <c r="AK14" i="1"/>
  <c r="AB12" i="1"/>
  <c r="AG13" i="1"/>
  <c r="AB21" i="1"/>
  <c r="AK21" i="1"/>
  <c r="AD14" i="1"/>
  <c r="AI12" i="1"/>
  <c r="AE12" i="1"/>
  <c r="AH14" i="1"/>
  <c r="AB17" i="1"/>
  <c r="AG21" i="1"/>
  <c r="AI17" i="1"/>
  <c r="AB14" i="1"/>
  <c r="AI14" i="1"/>
  <c r="AD17" i="1"/>
  <c r="AD21" i="1"/>
  <c r="AI21" i="1"/>
  <c r="AG17" i="1"/>
  <c r="AK17" i="1"/>
  <c r="AD12" i="1"/>
  <c r="AK12" i="1"/>
  <c r="AC17" i="1"/>
  <c r="AE17" i="1"/>
  <c r="AC21" i="1"/>
  <c r="AE21" i="1"/>
  <c r="AH21" i="1"/>
  <c r="AJ21" i="1"/>
  <c r="AC12" i="1"/>
  <c r="AH17" i="1"/>
  <c r="AJ17" i="1"/>
  <c r="AC14" i="1"/>
  <c r="AE14" i="1"/>
  <c r="AH12" i="1"/>
  <c r="AJ13" i="1"/>
  <c r="AA12" i="1"/>
  <c r="AA14" i="1"/>
  <c r="AA17" i="1"/>
  <c r="AA13" i="1"/>
  <c r="AG12" i="1"/>
  <c r="AJ12" i="1"/>
  <c r="AA18" i="1"/>
  <c r="AC18" i="1"/>
  <c r="AE18" i="1"/>
  <c r="AH18" i="1"/>
  <c r="AJ18" i="1"/>
  <c r="AB18" i="1"/>
  <c r="AD18" i="1"/>
  <c r="AG18" i="1"/>
  <c r="AI18" i="1"/>
  <c r="AK18" i="1"/>
  <c r="C18" i="1"/>
  <c r="C22" i="1"/>
  <c r="F18" i="1"/>
  <c r="D18" i="1"/>
  <c r="F20" i="1"/>
  <c r="D20" i="1"/>
  <c r="J12" i="1"/>
  <c r="L12" i="1"/>
  <c r="I13" i="1"/>
  <c r="K13" i="1"/>
  <c r="M13" i="1"/>
  <c r="J14" i="1"/>
  <c r="L14" i="1"/>
  <c r="I17" i="1"/>
  <c r="K17" i="1"/>
  <c r="M17" i="1"/>
  <c r="J18" i="1"/>
  <c r="L18" i="1"/>
  <c r="I19" i="1"/>
  <c r="K19" i="1"/>
  <c r="M19" i="1"/>
  <c r="J20" i="1"/>
  <c r="L20" i="1"/>
  <c r="I21" i="1"/>
  <c r="K21" i="1"/>
  <c r="M21" i="1"/>
  <c r="P17" i="1"/>
  <c r="R17" i="1"/>
  <c r="O18" i="1"/>
  <c r="R18" i="1"/>
  <c r="P18" i="1"/>
  <c r="S20" i="1"/>
  <c r="Q20" i="1"/>
  <c r="O22" i="1"/>
  <c r="R22" i="1"/>
  <c r="P22" i="1"/>
  <c r="O19" i="1"/>
  <c r="Q19" i="1"/>
  <c r="S19" i="1"/>
  <c r="O12" i="1"/>
  <c r="O14" i="1"/>
  <c r="P13" i="1"/>
  <c r="Q12" i="1"/>
  <c r="S12" i="1"/>
  <c r="Q14" i="1"/>
  <c r="R14" i="1"/>
  <c r="S14" i="1"/>
  <c r="P21" i="1"/>
  <c r="R21" i="1"/>
  <c r="U12" i="1"/>
  <c r="W12" i="1"/>
  <c r="Y12" i="1"/>
  <c r="U14" i="1"/>
  <c r="V14" i="1"/>
  <c r="W14" i="1"/>
  <c r="Y14" i="1"/>
  <c r="U18" i="1"/>
  <c r="X18" i="1"/>
  <c r="V18" i="1"/>
  <c r="W17" i="1"/>
  <c r="Y17" i="1"/>
  <c r="U21" i="1"/>
  <c r="W19" i="1"/>
  <c r="Y19" i="1"/>
  <c r="W21" i="1"/>
  <c r="Y21" i="1"/>
  <c r="Y20" i="1"/>
  <c r="W20" i="1"/>
  <c r="U22" i="1"/>
  <c r="X22" i="1"/>
  <c r="V22" i="1"/>
  <c r="G18" i="1"/>
  <c r="E18" i="1"/>
  <c r="G20" i="1"/>
  <c r="E20" i="1"/>
  <c r="C12" i="1"/>
  <c r="K12" i="1"/>
  <c r="M12" i="1"/>
  <c r="J13" i="1"/>
  <c r="L13" i="1"/>
  <c r="I14" i="1"/>
  <c r="J17" i="1"/>
  <c r="L17" i="1"/>
  <c r="I18" i="1"/>
  <c r="K18" i="1"/>
  <c r="M18" i="1"/>
  <c r="J19" i="1"/>
  <c r="L19" i="1"/>
  <c r="I20" i="1"/>
  <c r="K20" i="1"/>
  <c r="M20" i="1"/>
  <c r="Q17" i="1"/>
  <c r="S17" i="1"/>
  <c r="S18" i="1"/>
  <c r="Q18" i="1"/>
  <c r="O17" i="1"/>
  <c r="P19" i="1"/>
  <c r="R19" i="1"/>
  <c r="O13" i="1"/>
  <c r="P12" i="1"/>
  <c r="R12" i="1"/>
  <c r="Q13" i="1"/>
  <c r="S13" i="1"/>
  <c r="V12" i="1"/>
  <c r="U13" i="1"/>
  <c r="V13" i="1"/>
  <c r="U17" i="1"/>
  <c r="Y18" i="1"/>
  <c r="W18" i="1"/>
  <c r="V17" i="1"/>
  <c r="X17" i="1"/>
  <c r="V19" i="1"/>
  <c r="X19" i="1"/>
  <c r="E12" i="1"/>
  <c r="E14" i="1"/>
  <c r="G12" i="1"/>
  <c r="G14" i="1"/>
  <c r="F13" i="1"/>
  <c r="C14" i="1"/>
  <c r="D17" i="1"/>
  <c r="F17" i="1"/>
  <c r="C19" i="1"/>
  <c r="E19" i="1"/>
  <c r="G19" i="1"/>
  <c r="D21" i="1"/>
  <c r="F21" i="1"/>
  <c r="D13" i="1"/>
  <c r="D12" i="1"/>
  <c r="F12" i="1"/>
  <c r="C13" i="1"/>
  <c r="E13" i="1"/>
  <c r="G13" i="1"/>
  <c r="D14" i="1"/>
  <c r="F14" i="1"/>
  <c r="C17" i="1"/>
  <c r="E17" i="1"/>
  <c r="G17" i="1"/>
</calcChain>
</file>

<file path=xl/sharedStrings.xml><?xml version="1.0" encoding="utf-8"?>
<sst xmlns="http://schemas.openxmlformats.org/spreadsheetml/2006/main" count="275" uniqueCount="122">
  <si>
    <t>со шлегелем</t>
  </si>
  <si>
    <t>без шлегеля</t>
  </si>
  <si>
    <t>Высота двери</t>
  </si>
  <si>
    <t>Длина двери (2 двери)I-----____I</t>
  </si>
  <si>
    <t>Длина двери (3 двери)I-----____-----I</t>
  </si>
  <si>
    <t>Длина двери (4 двери)I-----____-----____I</t>
  </si>
  <si>
    <t>Длина двери (4 двери)I-----____  ____-----I</t>
  </si>
  <si>
    <t>Длина двери (5 дверей)I-----____-----____-----I</t>
  </si>
  <si>
    <t>Горизонталь верхняя</t>
  </si>
  <si>
    <t>Горизонталь нижняя</t>
  </si>
  <si>
    <t>Горизонталь средняя</t>
  </si>
  <si>
    <t>Направляющая верхняя</t>
  </si>
  <si>
    <t>Направляющая нижняя</t>
  </si>
  <si>
    <t>Размер заполнения ЛДСП  10мм</t>
  </si>
  <si>
    <t>Размер заполнения  8мм</t>
  </si>
  <si>
    <t>Размер заполнения  зеркало/стекло 4мм</t>
  </si>
  <si>
    <t>Введите высоту проема, мм:</t>
  </si>
  <si>
    <t>Введите ширину проема, мм:</t>
  </si>
  <si>
    <t>формулы</t>
  </si>
  <si>
    <t>2 дв.</t>
  </si>
  <si>
    <t>3 дв.</t>
  </si>
  <si>
    <t>4 дв.</t>
  </si>
  <si>
    <t>5 дв.</t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</si>
  <si>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-40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</si>
  <si>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</si>
  <si>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</si>
  <si>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</si>
  <si>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</si>
  <si>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+90мм)/5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</si>
  <si>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-52мм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</si>
  <si>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</si>
  <si>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-36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</si>
  <si>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-57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</si>
  <si>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-38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</si>
  <si>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-59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</si>
  <si>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-39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</si>
  <si>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</si>
  <si>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+25мм)/2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</si>
  <si>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</si>
  <si>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</si>
  <si>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</si>
  <si>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+100мм)/5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</si>
  <si>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</si>
  <si>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+95мм)/4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</si>
  <si>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+130мм)/5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</si>
  <si>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-70мм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</si>
  <si>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</si>
  <si>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-56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</si>
  <si>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-57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</si>
  <si>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</si>
  <si>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</si>
  <si>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+105мм)/4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</si>
  <si>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</si>
  <si>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+140мм)/5</t>
    </r>
  </si>
  <si>
    <t>Параметры двери</t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</si>
  <si>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</si>
  <si>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</si>
  <si>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-78мм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</si>
  <si>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+40мм)/2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</si>
  <si>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+80мм)/3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</si>
  <si>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+120мм)/4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</si>
  <si>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+80мм)/4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</si>
  <si>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+160мм)/5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</si>
  <si>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+150мм)/5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</si>
  <si>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</si>
  <si>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+110мм)/4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</si>
  <si>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+30мм)/2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</si>
  <si>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-59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</si>
  <si>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пр</t>
    </r>
    <r>
      <rPr>
        <b/>
        <sz val="10"/>
        <color rgb="FF002060"/>
        <rFont val="Calibri"/>
        <family val="2"/>
        <charset val="204"/>
        <scheme val="minor"/>
      </rPr>
      <t>-35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</si>
  <si>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-61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</si>
  <si>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-62</t>
    </r>
  </si>
  <si>
    <t>Внимание! Отверстия в вертикальных профилях сверлить с учетом зеркального расположения профилей в двери.</t>
  </si>
  <si>
    <t>*размер отверстия Х зависит от диаметра шляпки сборочного винта. Диаметры отверстий: внутренний равен 5,5 мм; внешний равен 9 мм.</t>
  </si>
  <si>
    <r>
      <t xml:space="preserve">Просверлить отверстия в вертикальных профилях С и Н (идентичны). Расстояние от края профиля до центра отверстия равно </t>
    </r>
    <r>
      <rPr>
        <b/>
        <sz val="12"/>
        <color rgb="FF002060"/>
        <rFont val="Calibri"/>
        <family val="2"/>
        <charset val="204"/>
        <scheme val="minor"/>
      </rPr>
      <t>7,7 мм</t>
    </r>
    <r>
      <rPr>
        <sz val="11"/>
        <rFont val="Calibri"/>
        <family val="2"/>
        <charset val="204"/>
        <scheme val="minor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rgb="FF002060"/>
        <rFont val="Calibri"/>
        <family val="2"/>
        <charset val="204"/>
        <scheme val="minor"/>
      </rPr>
      <t>34 мм</t>
    </r>
    <r>
      <rPr>
        <sz val="11"/>
        <rFont val="Calibri"/>
        <family val="2"/>
        <charset val="204"/>
        <scheme val="minor"/>
      </rPr>
      <t>.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</si>
  <si>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</si>
  <si>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</si>
  <si>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</si>
  <si>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9 мм</t>
  </si>
  <si>
    <t>11 мм</t>
  </si>
  <si>
    <t>12 мм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</si>
  <si>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</si>
  <si>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</si>
  <si>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</si>
  <si>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</si>
  <si>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</si>
  <si>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</si>
  <si>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</si>
  <si>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t>шлегель</t>
  </si>
  <si>
    <t>ручка</t>
  </si>
  <si>
    <t>высота двери:</t>
  </si>
  <si>
    <t>ширина двери:</t>
  </si>
  <si>
    <t>C</t>
  </si>
  <si>
    <t>H</t>
  </si>
  <si>
    <t>проем</t>
  </si>
  <si>
    <t>высота</t>
  </si>
  <si>
    <t>ширина</t>
  </si>
  <si>
    <t>количество</t>
  </si>
  <si>
    <t>дверей</t>
  </si>
  <si>
    <t>вид</t>
  </si>
  <si>
    <t>параметр</t>
  </si>
  <si>
    <t>наличие</t>
  </si>
  <si>
    <t>по высоте</t>
  </si>
  <si>
    <t>по длине</t>
  </si>
  <si>
    <t>длина верхней направляющей:</t>
  </si>
  <si>
    <t>длина нижней направляющей:</t>
  </si>
  <si>
    <t>длина верхней рамки:</t>
  </si>
  <si>
    <t>длина нижней рамки:</t>
  </si>
  <si>
    <t>высота наполнения:</t>
  </si>
  <si>
    <t>ширина наполнения:</t>
  </si>
  <si>
    <t>размер</t>
  </si>
  <si>
    <t>показатель</t>
  </si>
  <si>
    <t>вариант</t>
  </si>
  <si>
    <t>нахлыстов</t>
  </si>
  <si>
    <t>наполнение и припуск</t>
  </si>
  <si>
    <t>толщина</t>
  </si>
  <si>
    <t>Полученные параметры двери:</t>
  </si>
  <si>
    <t>Исходные данные для расчета</t>
  </si>
  <si>
    <r>
      <t xml:space="preserve">В </t>
    </r>
    <r>
      <rPr>
        <b/>
        <u/>
        <sz val="12"/>
        <color rgb="FFFFFF00"/>
        <rFont val="Calibri"/>
        <family val="2"/>
        <charset val="204"/>
        <scheme val="minor"/>
      </rPr>
      <t>поля желтого цвета</t>
    </r>
    <r>
      <rPr>
        <sz val="11"/>
        <color rgb="FFFFFF00"/>
        <rFont val="Calibri"/>
        <family val="2"/>
        <charset val="204"/>
        <scheme val="minor"/>
      </rPr>
      <t xml:space="preserve"> введите исходные данные:</t>
    </r>
  </si>
  <si>
    <t>Система Н (симметричный, под заказ)</t>
  </si>
  <si>
    <t>Система  С (ассиметричный, складская программа)</t>
  </si>
  <si>
    <t xml:space="preserve">Система Е (система </t>
  </si>
  <si>
    <t>Система  С (ассиметричный, под заказ)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</si>
</sst>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&quot;р.&quot;"/>
    <numFmt numFmtId="166" formatCode="#,##0&quot; мм&quot;"/>
    <numFmt numFmtId="167" formatCode="0&quot; шт.&quot;"/>
    <numFmt numFmtId="168" formatCode="0&quot; мм&quot;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vertAlign val="subscript"/>
      <sz val="10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vertAlign val="subscript"/>
      <sz val="10"/>
      <color rgb="FF00206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2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/>
    </xf>
    <xf numFmtId="0" fontId="2" fillId="2" borderId="2" xfId="0" applyFont="1" applyFill="1" applyBorder="1"/>
    <xf numFmtId="164" fontId="3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164" fontId="0" fillId="4" borderId="18" xfId="0" applyNumberFormat="1" applyFill="1" applyBorder="1" applyAlignment="1">
      <alignment vertical="center" wrapText="1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164" fontId="0" fillId="4" borderId="1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0" fillId="0" borderId="0" xfId="0" applyNumberFormat="1"/>
    <xf numFmtId="165" fontId="7" fillId="0" borderId="0" xfId="0" applyNumberFormat="1" applyFont="1"/>
    <xf numFmtId="0" fontId="0" fillId="4" borderId="3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1" fontId="3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4" fillId="0" borderId="1" xfId="0" applyNumberFormat="1" applyFont="1" applyBorder="1" applyAlignment="1">
      <alignment vertical="center" wrapText="1"/>
    </xf>
    <xf numFmtId="1" fontId="0" fillId="4" borderId="18" xfId="0" applyNumberFormat="1" applyFill="1" applyBorder="1" applyAlignment="1">
      <alignment vertical="center" wrapText="1"/>
    </xf>
    <xf numFmtId="1" fontId="0" fillId="4" borderId="1" xfId="0" applyNumberForma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8" fillId="4" borderId="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167" fontId="18" fillId="0" borderId="11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vertical="center"/>
    </xf>
    <xf numFmtId="166" fontId="20" fillId="2" borderId="11" xfId="0" applyNumberFormat="1" applyFont="1" applyFill="1" applyBorder="1" applyAlignment="1">
      <alignment vertical="center"/>
    </xf>
    <xf numFmtId="166" fontId="21" fillId="3" borderId="9" xfId="0" applyNumberFormat="1" applyFont="1" applyFill="1" applyBorder="1" applyAlignment="1">
      <alignment horizontal="right" vertical="center"/>
    </xf>
    <xf numFmtId="166" fontId="21" fillId="3" borderId="11" xfId="0" applyNumberFormat="1" applyFont="1" applyFill="1" applyBorder="1" applyAlignment="1">
      <alignment horizontal="right" vertical="center"/>
    </xf>
    <xf numFmtId="0" fontId="21" fillId="3" borderId="29" xfId="0" applyFont="1" applyFill="1" applyBorder="1" applyAlignment="1">
      <alignment horizontal="center" vertical="center"/>
    </xf>
    <xf numFmtId="168" fontId="21" fillId="3" borderId="29" xfId="0" applyNumberFormat="1" applyFont="1" applyFill="1" applyBorder="1" applyAlignment="1">
      <alignment horizontal="right" vertical="center"/>
    </xf>
    <xf numFmtId="167" fontId="21" fillId="3" borderId="9" xfId="0" applyNumberFormat="1" applyFont="1" applyFill="1" applyBorder="1" applyAlignment="1">
      <alignment horizontal="right" vertical="center"/>
    </xf>
    <xf numFmtId="165" fontId="21" fillId="3" borderId="29" xfId="0" applyNumberFormat="1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166" fontId="18" fillId="6" borderId="34" xfId="0" applyNumberFormat="1" applyFont="1" applyFill="1" applyBorder="1" applyAlignment="1">
      <alignment horizontal="right" vertical="center"/>
    </xf>
    <xf numFmtId="0" fontId="16" fillId="6" borderId="36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166" fontId="18" fillId="6" borderId="41" xfId="0" applyNumberFormat="1" applyFont="1" applyFill="1" applyBorder="1" applyAlignment="1">
      <alignment horizontal="right" vertical="center"/>
    </xf>
    <xf numFmtId="166" fontId="18" fillId="6" borderId="42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4" borderId="3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pane xSplit="1" topLeftCell="B1" activePane="topRight" state="frozen"/>
      <selection pane="topRight" activeCell="Z1" sqref="Z1:AK1048576"/>
    </sheetView>
  </sheetViews>
  <sheetFormatPr defaultColWidth="8.85546875" defaultRowHeight="15" x14ac:dyDescent="0.25"/>
  <cols>
    <col min="1" max="1" width="43.85546875" bestFit="1" customWidth="1"/>
    <col min="2" max="2" width="15" bestFit="1" customWidth="1"/>
    <col min="3" max="3" width="7.42578125" bestFit="1" customWidth="1"/>
    <col min="4" max="4" width="6.42578125" customWidth="1"/>
    <col min="5" max="5" width="9.7109375" bestFit="1" customWidth="1"/>
    <col min="6" max="6" width="7.28515625" bestFit="1" customWidth="1"/>
    <col min="7" max="7" width="6.42578125" customWidth="1"/>
    <col min="8" max="8" width="15.85546875" bestFit="1" customWidth="1"/>
    <col min="9" max="13" width="6.85546875" customWidth="1"/>
    <col min="14" max="14" width="15.85546875" bestFit="1" customWidth="1"/>
    <col min="15" max="15" width="7" bestFit="1" customWidth="1"/>
    <col min="16" max="16" width="7.42578125" bestFit="1" customWidth="1"/>
    <col min="17" max="17" width="8.28515625" bestFit="1" customWidth="1"/>
    <col min="18" max="18" width="7" bestFit="1" customWidth="1"/>
    <col min="19" max="19" width="6.85546875" bestFit="1" customWidth="1"/>
    <col min="20" max="20" width="15.85546875" bestFit="1" customWidth="1"/>
    <col min="21" max="23" width="7.28515625" bestFit="1" customWidth="1"/>
    <col min="24" max="24" width="6.140625" bestFit="1" customWidth="1"/>
    <col min="25" max="25" width="5.42578125" bestFit="1" customWidth="1"/>
    <col min="26" max="26" width="15.85546875" hidden="1" customWidth="1"/>
    <col min="27" max="30" width="7.28515625" hidden="1" customWidth="1"/>
    <col min="31" max="31" width="6.28515625" hidden="1" customWidth="1"/>
    <col min="32" max="32" width="15.85546875" hidden="1" customWidth="1"/>
    <col min="33" max="36" width="7.28515625" hidden="1" customWidth="1"/>
    <col min="37" max="37" width="5.42578125" hidden="1" customWidth="1"/>
  </cols>
  <sheetData>
    <row r="1" spans="1:37" ht="15.75" x14ac:dyDescent="0.25">
      <c r="A1" s="8" t="s">
        <v>16</v>
      </c>
      <c r="B1" s="7">
        <v>2815</v>
      </c>
    </row>
    <row r="2" spans="1:37" ht="16.5" thickBot="1" x14ac:dyDescent="0.3">
      <c r="A2" s="14" t="s">
        <v>17</v>
      </c>
      <c r="B2" s="15">
        <v>5400</v>
      </c>
    </row>
    <row r="3" spans="1:37" ht="16.5" thickBot="1" x14ac:dyDescent="0.3">
      <c r="A3" s="109" t="s">
        <v>54</v>
      </c>
      <c r="B3" s="107" t="s">
        <v>119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96" t="s">
        <v>118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  <c r="Z3" s="96" t="s">
        <v>120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8"/>
    </row>
    <row r="4" spans="1:37" x14ac:dyDescent="0.25">
      <c r="A4" s="110"/>
      <c r="B4" s="105" t="s">
        <v>0</v>
      </c>
      <c r="C4" s="106"/>
      <c r="D4" s="106"/>
      <c r="E4" s="106"/>
      <c r="F4" s="106"/>
      <c r="G4" s="106"/>
      <c r="H4" s="105" t="s">
        <v>1</v>
      </c>
      <c r="I4" s="106"/>
      <c r="J4" s="106"/>
      <c r="K4" s="106"/>
      <c r="L4" s="106"/>
      <c r="M4" s="106"/>
      <c r="N4" s="99" t="s">
        <v>0</v>
      </c>
      <c r="O4" s="100"/>
      <c r="P4" s="100"/>
      <c r="Q4" s="100"/>
      <c r="R4" s="100"/>
      <c r="S4" s="101"/>
      <c r="T4" s="99" t="s">
        <v>1</v>
      </c>
      <c r="U4" s="100"/>
      <c r="V4" s="100"/>
      <c r="W4" s="100"/>
      <c r="X4" s="100"/>
      <c r="Y4" s="101"/>
      <c r="Z4" s="99" t="s">
        <v>0</v>
      </c>
      <c r="AA4" s="100"/>
      <c r="AB4" s="100"/>
      <c r="AC4" s="100"/>
      <c r="AD4" s="100"/>
      <c r="AE4" s="101"/>
      <c r="AF4" s="99" t="s">
        <v>1</v>
      </c>
      <c r="AG4" s="100"/>
      <c r="AH4" s="100"/>
      <c r="AI4" s="100"/>
      <c r="AJ4" s="100"/>
      <c r="AK4" s="101"/>
    </row>
    <row r="5" spans="1:37" x14ac:dyDescent="0.25">
      <c r="A5" s="111"/>
      <c r="B5" s="43" t="s">
        <v>18</v>
      </c>
      <c r="C5" s="50" t="s">
        <v>19</v>
      </c>
      <c r="D5" s="3" t="s">
        <v>20</v>
      </c>
      <c r="E5" s="3" t="s">
        <v>21</v>
      </c>
      <c r="F5" s="3" t="s">
        <v>21</v>
      </c>
      <c r="G5" s="6" t="s">
        <v>22</v>
      </c>
      <c r="H5" s="43" t="s">
        <v>18</v>
      </c>
      <c r="I5" s="3" t="s">
        <v>19</v>
      </c>
      <c r="J5" s="3" t="s">
        <v>20</v>
      </c>
      <c r="K5" s="3" t="s">
        <v>21</v>
      </c>
      <c r="L5" s="3" t="s">
        <v>21</v>
      </c>
      <c r="M5" s="6" t="s">
        <v>22</v>
      </c>
      <c r="N5" s="43" t="s">
        <v>18</v>
      </c>
      <c r="O5" s="3" t="s">
        <v>19</v>
      </c>
      <c r="P5" s="3" t="s">
        <v>20</v>
      </c>
      <c r="Q5" s="3" t="s">
        <v>21</v>
      </c>
      <c r="R5" s="3" t="s">
        <v>21</v>
      </c>
      <c r="S5" s="10" t="s">
        <v>22</v>
      </c>
      <c r="T5" s="43" t="s">
        <v>18</v>
      </c>
      <c r="U5" s="3" t="s">
        <v>19</v>
      </c>
      <c r="V5" s="3" t="s">
        <v>20</v>
      </c>
      <c r="W5" s="3" t="s">
        <v>21</v>
      </c>
      <c r="X5" s="3" t="s">
        <v>21</v>
      </c>
      <c r="Y5" s="10" t="s">
        <v>22</v>
      </c>
      <c r="Z5" s="43" t="s">
        <v>18</v>
      </c>
      <c r="AA5" s="3" t="s">
        <v>19</v>
      </c>
      <c r="AB5" s="3" t="s">
        <v>20</v>
      </c>
      <c r="AC5" s="3" t="s">
        <v>21</v>
      </c>
      <c r="AD5" s="3" t="s">
        <v>21</v>
      </c>
      <c r="AE5" s="10" t="s">
        <v>22</v>
      </c>
      <c r="AF5" s="43" t="s">
        <v>18</v>
      </c>
      <c r="AG5" s="3" t="s">
        <v>19</v>
      </c>
      <c r="AH5" s="3" t="s">
        <v>20</v>
      </c>
      <c r="AI5" s="3" t="s">
        <v>21</v>
      </c>
      <c r="AJ5" s="3" t="s">
        <v>21</v>
      </c>
      <c r="AK5" s="10" t="s">
        <v>22</v>
      </c>
    </row>
    <row r="6" spans="1:37" ht="15.75" x14ac:dyDescent="0.25">
      <c r="A6" s="9" t="s">
        <v>2</v>
      </c>
      <c r="B6" s="44" t="s">
        <v>23</v>
      </c>
      <c r="C6" s="51">
        <f>B1-40</f>
        <v>2775</v>
      </c>
      <c r="D6" s="4">
        <f>B1-40</f>
        <v>2775</v>
      </c>
      <c r="E6" s="4">
        <f>B1-40</f>
        <v>2775</v>
      </c>
      <c r="F6" s="4">
        <f>B1-40</f>
        <v>2775</v>
      </c>
      <c r="G6" s="13">
        <f>B1-40</f>
        <v>2775</v>
      </c>
      <c r="H6" s="44" t="s">
        <v>23</v>
      </c>
      <c r="I6" s="4">
        <f>$B1-40</f>
        <v>2775</v>
      </c>
      <c r="J6" s="4">
        <f>$B1-40</f>
        <v>2775</v>
      </c>
      <c r="K6" s="4">
        <f t="shared" ref="K6:M6" si="0">$B1-40</f>
        <v>2775</v>
      </c>
      <c r="L6" s="4">
        <f t="shared" si="0"/>
        <v>2775</v>
      </c>
      <c r="M6" s="13">
        <f t="shared" si="0"/>
        <v>2775</v>
      </c>
      <c r="N6" s="44" t="s">
        <v>23</v>
      </c>
      <c r="O6" s="4">
        <f>$B1-40</f>
        <v>2775</v>
      </c>
      <c r="P6" s="4">
        <f t="shared" ref="P6:S6" si="1">$B1-40</f>
        <v>2775</v>
      </c>
      <c r="Q6" s="4">
        <f t="shared" si="1"/>
        <v>2775</v>
      </c>
      <c r="R6" s="4">
        <f t="shared" si="1"/>
        <v>2775</v>
      </c>
      <c r="S6" s="11">
        <f t="shared" si="1"/>
        <v>2775</v>
      </c>
      <c r="T6" s="44" t="s">
        <v>23</v>
      </c>
      <c r="U6" s="4">
        <f>$B1-40</f>
        <v>2775</v>
      </c>
      <c r="V6" s="4">
        <f t="shared" ref="V6:Y6" si="2">$B1-40</f>
        <v>2775</v>
      </c>
      <c r="W6" s="4">
        <f t="shared" si="2"/>
        <v>2775</v>
      </c>
      <c r="X6" s="4">
        <f t="shared" si="2"/>
        <v>2775</v>
      </c>
      <c r="Y6" s="11">
        <f t="shared" si="2"/>
        <v>2775</v>
      </c>
      <c r="Z6" s="44" t="s">
        <v>23</v>
      </c>
      <c r="AA6" s="4">
        <f>$B1-40</f>
        <v>2775</v>
      </c>
      <c r="AB6" s="4">
        <f t="shared" ref="AB6:AE6" si="3">$B1-40</f>
        <v>2775</v>
      </c>
      <c r="AC6" s="4">
        <f t="shared" si="3"/>
        <v>2775</v>
      </c>
      <c r="AD6" s="4">
        <f t="shared" si="3"/>
        <v>2775</v>
      </c>
      <c r="AE6" s="11">
        <f t="shared" si="3"/>
        <v>2775</v>
      </c>
      <c r="AF6" s="44" t="s">
        <v>23</v>
      </c>
      <c r="AG6" s="4">
        <f>$B1-40</f>
        <v>2775</v>
      </c>
      <c r="AH6" s="4">
        <f t="shared" ref="AH6:AK6" si="4">$B1-40</f>
        <v>2775</v>
      </c>
      <c r="AI6" s="4">
        <f t="shared" si="4"/>
        <v>2775</v>
      </c>
      <c r="AJ6" s="4">
        <f t="shared" si="4"/>
        <v>2775</v>
      </c>
      <c r="AK6" s="11">
        <f t="shared" si="4"/>
        <v>2775</v>
      </c>
    </row>
    <row r="7" spans="1:37" ht="15.75" x14ac:dyDescent="0.25">
      <c r="A7" s="5" t="s">
        <v>3</v>
      </c>
      <c r="B7" s="44" t="s">
        <v>24</v>
      </c>
      <c r="C7" s="51">
        <f>(B2+15)/2</f>
        <v>2707.5</v>
      </c>
      <c r="D7" s="1"/>
      <c r="E7" s="1"/>
      <c r="F7" s="1"/>
      <c r="G7" s="5"/>
      <c r="H7" s="44" t="s">
        <v>37</v>
      </c>
      <c r="I7" s="4">
        <f>($B2+25)/2</f>
        <v>2712.5</v>
      </c>
      <c r="J7" s="4"/>
      <c r="K7" s="1"/>
      <c r="L7" s="1"/>
      <c r="M7" s="5"/>
      <c r="N7" s="44" t="s">
        <v>37</v>
      </c>
      <c r="O7" s="4">
        <f>($B2+25)/2</f>
        <v>2712.5</v>
      </c>
      <c r="P7" s="1"/>
      <c r="Q7" s="1"/>
      <c r="R7" s="1"/>
      <c r="S7" s="12"/>
      <c r="T7" s="44" t="s">
        <v>49</v>
      </c>
      <c r="U7" s="4">
        <f>($B2+35)/2</f>
        <v>2717.5</v>
      </c>
      <c r="V7" s="1"/>
      <c r="W7" s="1"/>
      <c r="X7" s="1"/>
      <c r="Y7" s="12"/>
      <c r="Z7" s="44" t="s">
        <v>66</v>
      </c>
      <c r="AA7" s="4">
        <f>($B2+30)/2</f>
        <v>2715</v>
      </c>
      <c r="AB7" s="1"/>
      <c r="AC7" s="1"/>
      <c r="AD7" s="1"/>
      <c r="AE7" s="12"/>
      <c r="AF7" s="44" t="s">
        <v>58</v>
      </c>
      <c r="AG7" s="4">
        <f>($B2+40)/2</f>
        <v>2720</v>
      </c>
      <c r="AH7" s="1"/>
      <c r="AI7" s="1"/>
      <c r="AJ7" s="1"/>
      <c r="AK7" s="12"/>
    </row>
    <row r="8" spans="1:37" ht="15.75" x14ac:dyDescent="0.25">
      <c r="A8" s="5" t="s">
        <v>4</v>
      </c>
      <c r="B8" s="44" t="s">
        <v>25</v>
      </c>
      <c r="C8" s="52"/>
      <c r="D8" s="4">
        <f>($B2+40)/3</f>
        <v>1813.3333333333333</v>
      </c>
      <c r="E8" s="1"/>
      <c r="F8" s="1"/>
      <c r="G8" s="5"/>
      <c r="H8" s="44" t="s">
        <v>38</v>
      </c>
      <c r="I8" s="1"/>
      <c r="J8" s="4">
        <f>($B2+50)/3</f>
        <v>1816.6666666666667</v>
      </c>
      <c r="K8" s="1"/>
      <c r="L8" s="1"/>
      <c r="M8" s="5"/>
      <c r="N8" s="44" t="s">
        <v>42</v>
      </c>
      <c r="O8" s="1"/>
      <c r="P8" s="16">
        <f>($B2+60)/3</f>
        <v>1820</v>
      </c>
      <c r="Q8" s="1"/>
      <c r="R8" s="1"/>
      <c r="S8" s="12"/>
      <c r="T8" s="44" t="s">
        <v>50</v>
      </c>
      <c r="U8" s="1"/>
      <c r="V8" s="16">
        <f>($B2+70)/3</f>
        <v>1823.3333333333333</v>
      </c>
      <c r="W8" s="1"/>
      <c r="X8" s="1"/>
      <c r="Y8" s="12"/>
      <c r="Z8" s="44" t="s">
        <v>50</v>
      </c>
      <c r="AA8" s="1"/>
      <c r="AB8" s="16">
        <f>($B2+70)/3</f>
        <v>1823.3333333333333</v>
      </c>
      <c r="AC8" s="1"/>
      <c r="AD8" s="1"/>
      <c r="AE8" s="12"/>
      <c r="AF8" s="44" t="s">
        <v>59</v>
      </c>
      <c r="AG8" s="1"/>
      <c r="AH8" s="16">
        <f>($B2+80)/3</f>
        <v>1826.6666666666667</v>
      </c>
      <c r="AI8" s="1"/>
      <c r="AJ8" s="1"/>
      <c r="AK8" s="12"/>
    </row>
    <row r="9" spans="1:37" ht="15.75" x14ac:dyDescent="0.25">
      <c r="A9" s="5" t="s">
        <v>5</v>
      </c>
      <c r="B9" s="44" t="s">
        <v>26</v>
      </c>
      <c r="C9" s="52"/>
      <c r="D9" s="1"/>
      <c r="E9" s="4">
        <f>($B2+65)/4</f>
        <v>1366.25</v>
      </c>
      <c r="F9" s="1"/>
      <c r="G9" s="5"/>
      <c r="H9" s="44" t="s">
        <v>39</v>
      </c>
      <c r="I9" s="1"/>
      <c r="J9" s="1"/>
      <c r="K9" s="4">
        <f>($B2+75)/4</f>
        <v>1368.75</v>
      </c>
      <c r="L9" s="1"/>
      <c r="M9" s="5"/>
      <c r="N9" s="44" t="s">
        <v>43</v>
      </c>
      <c r="O9" s="1"/>
      <c r="P9" s="1"/>
      <c r="Q9" s="4">
        <f>($B2+95)/4</f>
        <v>1373.75</v>
      </c>
      <c r="R9" s="1"/>
      <c r="S9" s="12"/>
      <c r="T9" s="44" t="s">
        <v>51</v>
      </c>
      <c r="U9" s="1"/>
      <c r="V9" s="1"/>
      <c r="W9" s="4">
        <f>($B2+105)/4</f>
        <v>1376.25</v>
      </c>
      <c r="X9" s="1"/>
      <c r="Y9" s="12"/>
      <c r="Z9" s="44" t="s">
        <v>65</v>
      </c>
      <c r="AA9" s="1"/>
      <c r="AB9" s="1"/>
      <c r="AC9" s="4">
        <f>($B2+110)/4</f>
        <v>1377.5</v>
      </c>
      <c r="AD9" s="1"/>
      <c r="AE9" s="12"/>
      <c r="AF9" s="44" t="s">
        <v>60</v>
      </c>
      <c r="AG9" s="1"/>
      <c r="AH9" s="1"/>
      <c r="AI9" s="4">
        <f>($B2+120)/4</f>
        <v>1380</v>
      </c>
      <c r="AJ9" s="1"/>
      <c r="AK9" s="12"/>
    </row>
    <row r="10" spans="1:37" ht="15.75" x14ac:dyDescent="0.25">
      <c r="A10" s="5" t="s">
        <v>6</v>
      </c>
      <c r="B10" s="44" t="s">
        <v>27</v>
      </c>
      <c r="C10" s="52"/>
      <c r="D10" s="1"/>
      <c r="E10" s="1"/>
      <c r="F10" s="4">
        <f>($B2+30)/4</f>
        <v>1357.5</v>
      </c>
      <c r="G10" s="5"/>
      <c r="H10" s="44" t="s">
        <v>40</v>
      </c>
      <c r="I10" s="1"/>
      <c r="J10" s="1"/>
      <c r="K10" s="1"/>
      <c r="L10" s="4">
        <f>($B2+50)/4</f>
        <v>1362.5</v>
      </c>
      <c r="M10" s="5"/>
      <c r="N10" s="44" t="s">
        <v>40</v>
      </c>
      <c r="O10" s="1"/>
      <c r="P10" s="1"/>
      <c r="Q10" s="1"/>
      <c r="R10" s="4">
        <f>($B2+50)/4</f>
        <v>1362.5</v>
      </c>
      <c r="S10" s="12"/>
      <c r="T10" s="44" t="s">
        <v>52</v>
      </c>
      <c r="U10" s="1"/>
      <c r="V10" s="1"/>
      <c r="W10" s="1"/>
      <c r="X10" s="4">
        <f>($B2+70)/4</f>
        <v>1367.5</v>
      </c>
      <c r="Y10" s="12"/>
      <c r="Z10" s="44" t="s">
        <v>64</v>
      </c>
      <c r="AA10" s="1"/>
      <c r="AB10" s="1"/>
      <c r="AC10" s="1"/>
      <c r="AD10" s="4">
        <f>($B2+60)/4</f>
        <v>1365</v>
      </c>
      <c r="AE10" s="12"/>
      <c r="AF10" s="44" t="s">
        <v>61</v>
      </c>
      <c r="AG10" s="1"/>
      <c r="AH10" s="1"/>
      <c r="AI10" s="1"/>
      <c r="AJ10" s="4">
        <f>($B2+80)/4</f>
        <v>1370</v>
      </c>
      <c r="AK10" s="12"/>
    </row>
    <row r="11" spans="1:37" ht="15.75" x14ac:dyDescent="0.25">
      <c r="A11" s="5" t="s">
        <v>7</v>
      </c>
      <c r="B11" s="44" t="s">
        <v>28</v>
      </c>
      <c r="C11" s="52"/>
      <c r="D11" s="1"/>
      <c r="E11" s="1"/>
      <c r="F11" s="1"/>
      <c r="G11" s="13">
        <f>($B2+90)/5</f>
        <v>1098</v>
      </c>
      <c r="H11" s="44" t="s">
        <v>41</v>
      </c>
      <c r="I11" s="1"/>
      <c r="J11" s="1"/>
      <c r="K11" s="1"/>
      <c r="L11" s="1"/>
      <c r="M11" s="13">
        <f>($B2+100)/5</f>
        <v>1100</v>
      </c>
      <c r="N11" s="44" t="s">
        <v>44</v>
      </c>
      <c r="O11" s="1"/>
      <c r="P11" s="1"/>
      <c r="Q11" s="1"/>
      <c r="R11" s="1"/>
      <c r="S11" s="11">
        <f>($B2+130)/5</f>
        <v>1106</v>
      </c>
      <c r="T11" s="44" t="s">
        <v>53</v>
      </c>
      <c r="U11" s="1"/>
      <c r="V11" s="1"/>
      <c r="W11" s="1"/>
      <c r="X11" s="1"/>
      <c r="Y11" s="11">
        <f>($B2+140)/5</f>
        <v>1108</v>
      </c>
      <c r="Z11" s="44" t="s">
        <v>63</v>
      </c>
      <c r="AA11" s="1"/>
      <c r="AB11" s="1"/>
      <c r="AC11" s="1"/>
      <c r="AD11" s="1"/>
      <c r="AE11" s="11">
        <f>($B2+150)/5</f>
        <v>1110</v>
      </c>
      <c r="AF11" s="44" t="s">
        <v>62</v>
      </c>
      <c r="AG11" s="1"/>
      <c r="AH11" s="1"/>
      <c r="AI11" s="1"/>
      <c r="AJ11" s="1"/>
      <c r="AK11" s="11">
        <f>($B2+160)/5</f>
        <v>1112</v>
      </c>
    </row>
    <row r="12" spans="1:37" x14ac:dyDescent="0.25">
      <c r="A12" s="5" t="s">
        <v>8</v>
      </c>
      <c r="B12" s="44" t="s">
        <v>29</v>
      </c>
      <c r="C12" s="52">
        <f>$C7-52</f>
        <v>2655.5</v>
      </c>
      <c r="D12" s="1">
        <f>D8-52</f>
        <v>1761.3333333333333</v>
      </c>
      <c r="E12" s="1">
        <f>E9-52</f>
        <v>1314.25</v>
      </c>
      <c r="F12" s="1">
        <f>F10-52</f>
        <v>1305.5</v>
      </c>
      <c r="G12" s="5">
        <f>G11-52</f>
        <v>1046</v>
      </c>
      <c r="H12" s="44" t="s">
        <v>29</v>
      </c>
      <c r="I12" s="1">
        <f>$I7-52</f>
        <v>2660.5</v>
      </c>
      <c r="J12" s="1">
        <f>J8-52</f>
        <v>1764.6666666666667</v>
      </c>
      <c r="K12" s="1">
        <f>K9-52</f>
        <v>1316.75</v>
      </c>
      <c r="L12" s="1">
        <f>L10-52</f>
        <v>1310.5</v>
      </c>
      <c r="M12" s="5">
        <f>M11-52</f>
        <v>1048</v>
      </c>
      <c r="N12" s="44" t="s">
        <v>45</v>
      </c>
      <c r="O12" s="1">
        <f>$O7-70</f>
        <v>2642.5</v>
      </c>
      <c r="P12" s="17">
        <f>P8-70</f>
        <v>1750</v>
      </c>
      <c r="Q12" s="17">
        <f>Q9-70</f>
        <v>1303.75</v>
      </c>
      <c r="R12" s="17">
        <f>R10-70</f>
        <v>1292.5</v>
      </c>
      <c r="S12" s="17">
        <f>S11-70</f>
        <v>1036</v>
      </c>
      <c r="T12" s="44" t="s">
        <v>45</v>
      </c>
      <c r="U12" s="2">
        <f>U7-70</f>
        <v>2647.5</v>
      </c>
      <c r="V12" s="18">
        <f>V8-70</f>
        <v>1753.3333333333333</v>
      </c>
      <c r="W12" s="19">
        <f>W9-70</f>
        <v>1306.25</v>
      </c>
      <c r="X12" s="19">
        <f>X10-70</f>
        <v>1297.5</v>
      </c>
      <c r="Y12" s="20">
        <f>Y11-70</f>
        <v>1038</v>
      </c>
      <c r="Z12" s="44" t="s">
        <v>57</v>
      </c>
      <c r="AA12" s="1">
        <f>$O7-78</f>
        <v>2634.5</v>
      </c>
      <c r="AB12" s="17">
        <f>AB8-78</f>
        <v>1745.3333333333333</v>
      </c>
      <c r="AC12" s="17">
        <f>AC9-78</f>
        <v>1299.5</v>
      </c>
      <c r="AD12" s="17">
        <f>AD10-78</f>
        <v>1287</v>
      </c>
      <c r="AE12" s="17">
        <f>AE11-78</f>
        <v>1032</v>
      </c>
      <c r="AF12" s="44" t="s">
        <v>57</v>
      </c>
      <c r="AG12" s="2">
        <f>AG7-78</f>
        <v>2642</v>
      </c>
      <c r="AH12" s="18">
        <f>AH8-78</f>
        <v>1748.6666666666667</v>
      </c>
      <c r="AI12" s="19">
        <f>AI9-78</f>
        <v>1302</v>
      </c>
      <c r="AJ12" s="19">
        <f>AJ10-78</f>
        <v>1292</v>
      </c>
      <c r="AK12" s="20">
        <f>AK11-78</f>
        <v>1034</v>
      </c>
    </row>
    <row r="13" spans="1:37" x14ac:dyDescent="0.25">
      <c r="A13" s="5" t="s">
        <v>9</v>
      </c>
      <c r="B13" s="44" t="s">
        <v>29</v>
      </c>
      <c r="C13" s="52">
        <f>C7-52</f>
        <v>2655.5</v>
      </c>
      <c r="D13" s="1">
        <f>D8-52</f>
        <v>1761.3333333333333</v>
      </c>
      <c r="E13" s="1">
        <f>E9-52</f>
        <v>1314.25</v>
      </c>
      <c r="F13" s="1">
        <f>F10-52</f>
        <v>1305.5</v>
      </c>
      <c r="G13" s="5">
        <f>G11-52</f>
        <v>1046</v>
      </c>
      <c r="H13" s="44" t="s">
        <v>29</v>
      </c>
      <c r="I13" s="1">
        <f>I7-52</f>
        <v>2660.5</v>
      </c>
      <c r="J13" s="1">
        <f>J8-52</f>
        <v>1764.6666666666667</v>
      </c>
      <c r="K13" s="1">
        <f>K9-52</f>
        <v>1316.75</v>
      </c>
      <c r="L13" s="1">
        <f>L10-52</f>
        <v>1310.5</v>
      </c>
      <c r="M13" s="5">
        <f>M11-52</f>
        <v>1048</v>
      </c>
      <c r="N13" s="44" t="s">
        <v>45</v>
      </c>
      <c r="O13" s="1">
        <f>$O7-70</f>
        <v>2642.5</v>
      </c>
      <c r="P13" s="17">
        <f>P8-70</f>
        <v>1750</v>
      </c>
      <c r="Q13" s="17">
        <f>Q9-70</f>
        <v>1303.75</v>
      </c>
      <c r="R13" s="17">
        <f>R10-70</f>
        <v>1292.5</v>
      </c>
      <c r="S13" s="17">
        <f>S11-70</f>
        <v>1036</v>
      </c>
      <c r="T13" s="44" t="s">
        <v>45</v>
      </c>
      <c r="U13" s="2">
        <f>U7-70</f>
        <v>2647.5</v>
      </c>
      <c r="V13" s="18">
        <f>V8-70</f>
        <v>1753.3333333333333</v>
      </c>
      <c r="W13" s="19">
        <f>W9-70</f>
        <v>1306.25</v>
      </c>
      <c r="X13" s="19">
        <f>X10-70</f>
        <v>1297.5</v>
      </c>
      <c r="Y13" s="20">
        <f>Y11-70</f>
        <v>1038</v>
      </c>
      <c r="Z13" s="44" t="s">
        <v>57</v>
      </c>
      <c r="AA13" s="1">
        <f>$O7-78</f>
        <v>2634.5</v>
      </c>
      <c r="AB13" s="17">
        <f>AB8-78</f>
        <v>1745.3333333333333</v>
      </c>
      <c r="AC13" s="17">
        <f>AC9-78</f>
        <v>1299.5</v>
      </c>
      <c r="AD13" s="17">
        <f>AD10-78</f>
        <v>1287</v>
      </c>
      <c r="AE13" s="17">
        <f>AE11-78</f>
        <v>1032</v>
      </c>
      <c r="AF13" s="44" t="s">
        <v>57</v>
      </c>
      <c r="AG13" s="2">
        <f>AG7-78</f>
        <v>2642</v>
      </c>
      <c r="AH13" s="18">
        <f>AH8-78</f>
        <v>1748.6666666666667</v>
      </c>
      <c r="AI13" s="19">
        <f>AI9-78</f>
        <v>1302</v>
      </c>
      <c r="AJ13" s="19">
        <f>AJ10-78</f>
        <v>1292</v>
      </c>
      <c r="AK13" s="20">
        <f>AK11-78</f>
        <v>1034</v>
      </c>
    </row>
    <row r="14" spans="1:37" x14ac:dyDescent="0.25">
      <c r="A14" s="5" t="s">
        <v>10</v>
      </c>
      <c r="B14" s="44" t="s">
        <v>29</v>
      </c>
      <c r="C14" s="52">
        <f>C7-52</f>
        <v>2655.5</v>
      </c>
      <c r="D14" s="1">
        <f>D8-52</f>
        <v>1761.3333333333333</v>
      </c>
      <c r="E14" s="1">
        <f>E9-52</f>
        <v>1314.25</v>
      </c>
      <c r="F14" s="1">
        <f>F10-52</f>
        <v>1305.5</v>
      </c>
      <c r="G14" s="5">
        <f>G11-52</f>
        <v>1046</v>
      </c>
      <c r="H14" s="44" t="s">
        <v>29</v>
      </c>
      <c r="I14" s="1">
        <f>I7-52</f>
        <v>2660.5</v>
      </c>
      <c r="J14" s="1">
        <f>J8-52</f>
        <v>1764.6666666666667</v>
      </c>
      <c r="K14" s="1">
        <f>K9-52</f>
        <v>1316.75</v>
      </c>
      <c r="L14" s="1">
        <f>L10-52</f>
        <v>1310.5</v>
      </c>
      <c r="M14" s="5">
        <f>M11-52</f>
        <v>1048</v>
      </c>
      <c r="N14" s="44" t="s">
        <v>45</v>
      </c>
      <c r="O14" s="1">
        <f>$O7-70</f>
        <v>2642.5</v>
      </c>
      <c r="P14" s="17">
        <f>P8-70</f>
        <v>1750</v>
      </c>
      <c r="Q14" s="17">
        <f>Q9-70</f>
        <v>1303.75</v>
      </c>
      <c r="R14" s="17">
        <f>R10-70</f>
        <v>1292.5</v>
      </c>
      <c r="S14" s="17">
        <f>S11-70</f>
        <v>1036</v>
      </c>
      <c r="T14" s="44" t="s">
        <v>45</v>
      </c>
      <c r="U14" s="2">
        <f>U7-70</f>
        <v>2647.5</v>
      </c>
      <c r="V14" s="18">
        <f>V8-70</f>
        <v>1753.3333333333333</v>
      </c>
      <c r="W14" s="19">
        <f>W9-70</f>
        <v>1306.25</v>
      </c>
      <c r="X14" s="19">
        <f>X10-70</f>
        <v>1297.5</v>
      </c>
      <c r="Y14" s="20">
        <f>Y11-70</f>
        <v>1038</v>
      </c>
      <c r="Z14" s="44" t="s">
        <v>57</v>
      </c>
      <c r="AA14" s="1">
        <f>$O7-78</f>
        <v>2634.5</v>
      </c>
      <c r="AB14" s="17">
        <f>AB8-78</f>
        <v>1745.3333333333333</v>
      </c>
      <c r="AC14" s="17">
        <f>AC9-78</f>
        <v>1299.5</v>
      </c>
      <c r="AD14" s="17">
        <f>AD10-78</f>
        <v>1287</v>
      </c>
      <c r="AE14" s="17">
        <f>AE11-78</f>
        <v>1032</v>
      </c>
      <c r="AF14" s="44" t="s">
        <v>57</v>
      </c>
      <c r="AG14" s="2">
        <f>AG7-78</f>
        <v>2642</v>
      </c>
      <c r="AH14" s="18">
        <f>AH8-78</f>
        <v>1748.6666666666667</v>
      </c>
      <c r="AI14" s="19">
        <f>AI9-78</f>
        <v>1302</v>
      </c>
      <c r="AJ14" s="19">
        <f>AJ10-78</f>
        <v>1292</v>
      </c>
      <c r="AK14" s="20">
        <f>AK11-78</f>
        <v>1034</v>
      </c>
    </row>
    <row r="15" spans="1:37" s="25" customFormat="1" x14ac:dyDescent="0.25">
      <c r="A15" s="21" t="s">
        <v>11</v>
      </c>
      <c r="B15" s="45" t="s">
        <v>30</v>
      </c>
      <c r="C15" s="53">
        <f>$B2</f>
        <v>5400</v>
      </c>
      <c r="D15" s="22">
        <f t="shared" ref="D15:G15" si="5">$B2</f>
        <v>5400</v>
      </c>
      <c r="E15" s="22">
        <f t="shared" si="5"/>
        <v>5400</v>
      </c>
      <c r="F15" s="22">
        <f t="shared" si="5"/>
        <v>5400</v>
      </c>
      <c r="G15" s="23">
        <f t="shared" si="5"/>
        <v>5400</v>
      </c>
      <c r="H15" s="45" t="s">
        <v>30</v>
      </c>
      <c r="I15" s="22">
        <f>$B2</f>
        <v>5400</v>
      </c>
      <c r="J15" s="22">
        <f t="shared" ref="J15:M15" si="6">$B2</f>
        <v>5400</v>
      </c>
      <c r="K15" s="22">
        <f t="shared" si="6"/>
        <v>5400</v>
      </c>
      <c r="L15" s="22">
        <f t="shared" si="6"/>
        <v>5400</v>
      </c>
      <c r="M15" s="23">
        <f t="shared" si="6"/>
        <v>5400</v>
      </c>
      <c r="N15" s="45" t="s">
        <v>30</v>
      </c>
      <c r="O15" s="22">
        <f>$B2</f>
        <v>5400</v>
      </c>
      <c r="P15" s="22">
        <f t="shared" ref="P15:S15" si="7">$B2</f>
        <v>5400</v>
      </c>
      <c r="Q15" s="22">
        <f t="shared" si="7"/>
        <v>5400</v>
      </c>
      <c r="R15" s="22">
        <f t="shared" si="7"/>
        <v>5400</v>
      </c>
      <c r="S15" s="24">
        <f t="shared" si="7"/>
        <v>5400</v>
      </c>
      <c r="T15" s="45" t="s">
        <v>30</v>
      </c>
      <c r="U15" s="22">
        <f>$B2</f>
        <v>5400</v>
      </c>
      <c r="V15" s="22">
        <f t="shared" ref="V15:Y15" si="8">$B2</f>
        <v>5400</v>
      </c>
      <c r="W15" s="22">
        <f t="shared" si="8"/>
        <v>5400</v>
      </c>
      <c r="X15" s="22">
        <f t="shared" si="8"/>
        <v>5400</v>
      </c>
      <c r="Y15" s="24">
        <f t="shared" si="8"/>
        <v>5400</v>
      </c>
      <c r="Z15" s="45" t="s">
        <v>30</v>
      </c>
      <c r="AA15" s="22">
        <f>$B2</f>
        <v>5400</v>
      </c>
      <c r="AB15" s="22">
        <f t="shared" ref="AB15:AE15" si="9">$B2</f>
        <v>5400</v>
      </c>
      <c r="AC15" s="22">
        <f t="shared" si="9"/>
        <v>5400</v>
      </c>
      <c r="AD15" s="22">
        <f t="shared" si="9"/>
        <v>5400</v>
      </c>
      <c r="AE15" s="24">
        <f t="shared" si="9"/>
        <v>5400</v>
      </c>
      <c r="AF15" s="45" t="s">
        <v>30</v>
      </c>
      <c r="AG15" s="22">
        <f>$B2</f>
        <v>5400</v>
      </c>
      <c r="AH15" s="22">
        <f t="shared" ref="AH15:AK15" si="10">$B2</f>
        <v>5400</v>
      </c>
      <c r="AI15" s="22">
        <f t="shared" si="10"/>
        <v>5400</v>
      </c>
      <c r="AJ15" s="22">
        <f t="shared" si="10"/>
        <v>5400</v>
      </c>
      <c r="AK15" s="24">
        <f t="shared" si="10"/>
        <v>5400</v>
      </c>
    </row>
    <row r="16" spans="1:37" s="25" customFormat="1" ht="15.75" thickBot="1" x14ac:dyDescent="0.3">
      <c r="A16" s="26" t="s">
        <v>12</v>
      </c>
      <c r="B16" s="46" t="s">
        <v>30</v>
      </c>
      <c r="C16" s="54">
        <f>$B2</f>
        <v>5400</v>
      </c>
      <c r="D16" s="27">
        <f t="shared" ref="D16:G16" si="11">$B2</f>
        <v>5400</v>
      </c>
      <c r="E16" s="27">
        <f t="shared" si="11"/>
        <v>5400</v>
      </c>
      <c r="F16" s="27">
        <f t="shared" si="11"/>
        <v>5400</v>
      </c>
      <c r="G16" s="28">
        <f t="shared" si="11"/>
        <v>5400</v>
      </c>
      <c r="H16" s="46" t="s">
        <v>30</v>
      </c>
      <c r="I16" s="27">
        <f>$B2</f>
        <v>5400</v>
      </c>
      <c r="J16" s="27">
        <f t="shared" ref="J16:M16" si="12">$B2</f>
        <v>5400</v>
      </c>
      <c r="K16" s="27">
        <f t="shared" si="12"/>
        <v>5400</v>
      </c>
      <c r="L16" s="27">
        <f t="shared" si="12"/>
        <v>5400</v>
      </c>
      <c r="M16" s="28">
        <f t="shared" si="12"/>
        <v>5400</v>
      </c>
      <c r="N16" s="46" t="s">
        <v>30</v>
      </c>
      <c r="O16" s="27">
        <f>$B2</f>
        <v>5400</v>
      </c>
      <c r="P16" s="27">
        <f t="shared" ref="P16:S16" si="13">$B2</f>
        <v>5400</v>
      </c>
      <c r="Q16" s="27">
        <f t="shared" si="13"/>
        <v>5400</v>
      </c>
      <c r="R16" s="27">
        <f t="shared" si="13"/>
        <v>5400</v>
      </c>
      <c r="S16" s="29">
        <f t="shared" si="13"/>
        <v>5400</v>
      </c>
      <c r="T16" s="46" t="s">
        <v>30</v>
      </c>
      <c r="U16" s="27">
        <f>$B2</f>
        <v>5400</v>
      </c>
      <c r="V16" s="27">
        <f t="shared" ref="V16:Y16" si="14">$B2</f>
        <v>5400</v>
      </c>
      <c r="W16" s="27">
        <f t="shared" si="14"/>
        <v>5400</v>
      </c>
      <c r="X16" s="27">
        <f t="shared" si="14"/>
        <v>5400</v>
      </c>
      <c r="Y16" s="29">
        <f t="shared" si="14"/>
        <v>5400</v>
      </c>
      <c r="Z16" s="46" t="s">
        <v>30</v>
      </c>
      <c r="AA16" s="27">
        <f>$B2</f>
        <v>5400</v>
      </c>
      <c r="AB16" s="27">
        <f t="shared" ref="AB16:AE16" si="15">$B2</f>
        <v>5400</v>
      </c>
      <c r="AC16" s="27">
        <f t="shared" si="15"/>
        <v>5400</v>
      </c>
      <c r="AD16" s="27">
        <f t="shared" si="15"/>
        <v>5400</v>
      </c>
      <c r="AE16" s="29">
        <f t="shared" si="15"/>
        <v>5400</v>
      </c>
      <c r="AF16" s="46" t="s">
        <v>30</v>
      </c>
      <c r="AG16" s="27">
        <f>$B2</f>
        <v>5400</v>
      </c>
      <c r="AH16" s="27">
        <f t="shared" ref="AH16:AK16" si="16">$B2</f>
        <v>5400</v>
      </c>
      <c r="AI16" s="27">
        <f t="shared" si="16"/>
        <v>5400</v>
      </c>
      <c r="AJ16" s="27">
        <f t="shared" si="16"/>
        <v>5400</v>
      </c>
      <c r="AK16" s="29">
        <f t="shared" si="16"/>
        <v>5400</v>
      </c>
    </row>
    <row r="17" spans="1:37" s="25" customFormat="1" x14ac:dyDescent="0.25">
      <c r="A17" s="104" t="s">
        <v>13</v>
      </c>
      <c r="B17" s="47" t="s">
        <v>31</v>
      </c>
      <c r="C17" s="30">
        <f>C7-36</f>
        <v>2671.5</v>
      </c>
      <c r="D17" s="30">
        <f>D8-36</f>
        <v>1777.3333333333333</v>
      </c>
      <c r="E17" s="30">
        <f>E9-36</f>
        <v>1330.25</v>
      </c>
      <c r="F17" s="30">
        <f>F10-36</f>
        <v>1321.5</v>
      </c>
      <c r="G17" s="31">
        <f>G11-36</f>
        <v>1062</v>
      </c>
      <c r="H17" s="47" t="s">
        <v>31</v>
      </c>
      <c r="I17" s="30">
        <f>I7-36</f>
        <v>2676.5</v>
      </c>
      <c r="J17" s="30">
        <f>J8-36</f>
        <v>1780.6666666666667</v>
      </c>
      <c r="K17" s="30">
        <f>K9-36</f>
        <v>1332.75</v>
      </c>
      <c r="L17" s="30">
        <f>L10-36</f>
        <v>1326.5</v>
      </c>
      <c r="M17" s="31">
        <f>M11-36</f>
        <v>1064</v>
      </c>
      <c r="N17" s="47" t="s">
        <v>46</v>
      </c>
      <c r="O17" s="30">
        <f>$O7-54</f>
        <v>2658.5</v>
      </c>
      <c r="P17" s="32">
        <f>P8-54</f>
        <v>1766</v>
      </c>
      <c r="Q17" s="32">
        <f>Q9-54</f>
        <v>1319.75</v>
      </c>
      <c r="R17" s="32">
        <f>R10-54</f>
        <v>1308.5</v>
      </c>
      <c r="S17" s="32">
        <f>S11-54</f>
        <v>1052</v>
      </c>
      <c r="T17" s="47" t="s">
        <v>46</v>
      </c>
      <c r="U17" s="30">
        <f>U7-54</f>
        <v>2663.5</v>
      </c>
      <c r="V17" s="40">
        <f>V8-54</f>
        <v>1769.3333333333333</v>
      </c>
      <c r="W17" s="33">
        <f>W9-54</f>
        <v>1322.25</v>
      </c>
      <c r="X17" s="33">
        <f>X10-54</f>
        <v>1313.5</v>
      </c>
      <c r="Y17" s="34">
        <f>Y11-54</f>
        <v>1054</v>
      </c>
      <c r="Z17" s="47" t="s">
        <v>55</v>
      </c>
      <c r="AA17" s="30">
        <f>$O7-62</f>
        <v>2650.5</v>
      </c>
      <c r="AB17" s="32">
        <f>AB8-62</f>
        <v>1761.3333333333333</v>
      </c>
      <c r="AC17" s="32">
        <f>AC9-62</f>
        <v>1315.5</v>
      </c>
      <c r="AD17" s="32">
        <f>AD10-62</f>
        <v>1303</v>
      </c>
      <c r="AE17" s="32">
        <f>AE11-62</f>
        <v>1048</v>
      </c>
      <c r="AF17" s="47" t="s">
        <v>55</v>
      </c>
      <c r="AG17" s="30">
        <f>AG7-62</f>
        <v>2658</v>
      </c>
      <c r="AH17" s="40">
        <f>AH8-62</f>
        <v>1764.6666666666667</v>
      </c>
      <c r="AI17" s="33">
        <f>AI9-62</f>
        <v>1318</v>
      </c>
      <c r="AJ17" s="33">
        <f>AJ10-62</f>
        <v>1308</v>
      </c>
      <c r="AK17" s="34">
        <f>AK11-62</f>
        <v>1050</v>
      </c>
    </row>
    <row r="18" spans="1:37" s="25" customFormat="1" x14ac:dyDescent="0.25">
      <c r="A18" s="102"/>
      <c r="B18" s="48" t="s">
        <v>32</v>
      </c>
      <c r="C18" s="35">
        <f>C6-57</f>
        <v>2718</v>
      </c>
      <c r="D18" s="35">
        <f t="shared" ref="D18:G18" si="17">D6-57</f>
        <v>2718</v>
      </c>
      <c r="E18" s="35">
        <f t="shared" si="17"/>
        <v>2718</v>
      </c>
      <c r="F18" s="35">
        <f t="shared" si="17"/>
        <v>2718</v>
      </c>
      <c r="G18" s="36">
        <f t="shared" si="17"/>
        <v>2718</v>
      </c>
      <c r="H18" s="48" t="s">
        <v>32</v>
      </c>
      <c r="I18" s="35">
        <f>I6-57</f>
        <v>2718</v>
      </c>
      <c r="J18" s="35">
        <f t="shared" ref="J18:M18" si="18">J6-57</f>
        <v>2718</v>
      </c>
      <c r="K18" s="35">
        <f t="shared" si="18"/>
        <v>2718</v>
      </c>
      <c r="L18" s="35">
        <f t="shared" si="18"/>
        <v>2718</v>
      </c>
      <c r="M18" s="36">
        <f t="shared" si="18"/>
        <v>2718</v>
      </c>
      <c r="N18" s="48" t="s">
        <v>32</v>
      </c>
      <c r="O18" s="35">
        <f>O6-57</f>
        <v>2718</v>
      </c>
      <c r="P18" s="35">
        <f t="shared" ref="P18:S18" si="19">P6-57</f>
        <v>2718</v>
      </c>
      <c r="Q18" s="35">
        <f t="shared" si="19"/>
        <v>2718</v>
      </c>
      <c r="R18" s="35">
        <f t="shared" si="19"/>
        <v>2718</v>
      </c>
      <c r="S18" s="35">
        <f t="shared" si="19"/>
        <v>2718</v>
      </c>
      <c r="T18" s="48" t="s">
        <v>32</v>
      </c>
      <c r="U18" s="35">
        <f>U6-57</f>
        <v>2718</v>
      </c>
      <c r="V18" s="35">
        <f t="shared" ref="V18:Y18" si="20">V6-57</f>
        <v>2718</v>
      </c>
      <c r="W18" s="35">
        <f t="shared" si="20"/>
        <v>2718</v>
      </c>
      <c r="X18" s="35">
        <f t="shared" si="20"/>
        <v>2718</v>
      </c>
      <c r="Y18" s="41">
        <f t="shared" si="20"/>
        <v>2718</v>
      </c>
      <c r="Z18" s="48" t="s">
        <v>32</v>
      </c>
      <c r="AA18" s="35">
        <f>AA6-57</f>
        <v>2718</v>
      </c>
      <c r="AB18" s="35">
        <f t="shared" ref="AB18:AE18" si="21">AB6-57</f>
        <v>2718</v>
      </c>
      <c r="AC18" s="35">
        <f t="shared" si="21"/>
        <v>2718</v>
      </c>
      <c r="AD18" s="35">
        <f t="shared" si="21"/>
        <v>2718</v>
      </c>
      <c r="AE18" s="35">
        <f t="shared" si="21"/>
        <v>2718</v>
      </c>
      <c r="AF18" s="48" t="s">
        <v>32</v>
      </c>
      <c r="AG18" s="35">
        <f>AG6-57</f>
        <v>2718</v>
      </c>
      <c r="AH18" s="35">
        <f t="shared" ref="AH18:AK18" si="22">AH6-57</f>
        <v>2718</v>
      </c>
      <c r="AI18" s="35">
        <f t="shared" si="22"/>
        <v>2718</v>
      </c>
      <c r="AJ18" s="35">
        <f t="shared" si="22"/>
        <v>2718</v>
      </c>
      <c r="AK18" s="41">
        <f t="shared" si="22"/>
        <v>2718</v>
      </c>
    </row>
    <row r="19" spans="1:37" s="25" customFormat="1" x14ac:dyDescent="0.25">
      <c r="A19" s="102" t="s">
        <v>14</v>
      </c>
      <c r="B19" s="48" t="s">
        <v>33</v>
      </c>
      <c r="C19" s="35">
        <f>C7-38</f>
        <v>2669.5</v>
      </c>
      <c r="D19" s="35">
        <f>D8-38</f>
        <v>1775.3333333333333</v>
      </c>
      <c r="E19" s="35">
        <f>E9-38</f>
        <v>1328.25</v>
      </c>
      <c r="F19" s="35">
        <f>F10-38</f>
        <v>1319.5</v>
      </c>
      <c r="G19" s="36">
        <f>G11-38</f>
        <v>1060</v>
      </c>
      <c r="H19" s="48" t="s">
        <v>33</v>
      </c>
      <c r="I19" s="35">
        <f>I7-38</f>
        <v>2674.5</v>
      </c>
      <c r="J19" s="35">
        <f>J8-38</f>
        <v>1778.6666666666667</v>
      </c>
      <c r="K19" s="35">
        <f>K9-38</f>
        <v>1330.75</v>
      </c>
      <c r="L19" s="35">
        <f>L10-38</f>
        <v>1324.5</v>
      </c>
      <c r="M19" s="36">
        <f>M11-38</f>
        <v>1062</v>
      </c>
      <c r="N19" s="48" t="s">
        <v>47</v>
      </c>
      <c r="O19" s="35">
        <f>O7-56</f>
        <v>2656.5</v>
      </c>
      <c r="P19" s="37">
        <f>P8-56</f>
        <v>1764</v>
      </c>
      <c r="Q19" s="35">
        <f>Q9-56</f>
        <v>1317.75</v>
      </c>
      <c r="R19" s="35">
        <f>R10-56</f>
        <v>1306.5</v>
      </c>
      <c r="S19" s="35">
        <f>S11-56</f>
        <v>1050</v>
      </c>
      <c r="T19" s="48" t="s">
        <v>47</v>
      </c>
      <c r="U19" s="35">
        <f>U7-56</f>
        <v>2661.5</v>
      </c>
      <c r="V19" s="37">
        <f>V8-56</f>
        <v>1767.3333333333333</v>
      </c>
      <c r="W19" s="35">
        <f>W9-56</f>
        <v>1320.25</v>
      </c>
      <c r="X19" s="35">
        <f>X10-56</f>
        <v>1311.5</v>
      </c>
      <c r="Y19" s="41">
        <f>Y11-56</f>
        <v>1052</v>
      </c>
      <c r="Z19" s="48"/>
      <c r="AA19" s="35"/>
      <c r="AB19" s="37"/>
      <c r="AC19" s="35"/>
      <c r="AD19" s="35"/>
      <c r="AE19" s="35"/>
      <c r="AF19" s="48"/>
      <c r="AG19" s="35"/>
      <c r="AH19" s="37"/>
      <c r="AI19" s="35"/>
      <c r="AJ19" s="35"/>
      <c r="AK19" s="41"/>
    </row>
    <row r="20" spans="1:37" s="25" customFormat="1" x14ac:dyDescent="0.25">
      <c r="A20" s="102"/>
      <c r="B20" s="48" t="s">
        <v>34</v>
      </c>
      <c r="C20" s="35">
        <f>C6-59</f>
        <v>2716</v>
      </c>
      <c r="D20" s="35">
        <f t="shared" ref="D20:G20" si="23">D6-59</f>
        <v>2716</v>
      </c>
      <c r="E20" s="35">
        <f t="shared" si="23"/>
        <v>2716</v>
      </c>
      <c r="F20" s="35">
        <f t="shared" si="23"/>
        <v>2716</v>
      </c>
      <c r="G20" s="36">
        <f t="shared" si="23"/>
        <v>2716</v>
      </c>
      <c r="H20" s="48" t="s">
        <v>34</v>
      </c>
      <c r="I20" s="35">
        <f>I6-59</f>
        <v>2716</v>
      </c>
      <c r="J20" s="35">
        <f t="shared" ref="J20:M20" si="24">J6-59</f>
        <v>2716</v>
      </c>
      <c r="K20" s="35">
        <f t="shared" si="24"/>
        <v>2716</v>
      </c>
      <c r="L20" s="35">
        <f t="shared" si="24"/>
        <v>2716</v>
      </c>
      <c r="M20" s="36">
        <f t="shared" si="24"/>
        <v>2716</v>
      </c>
      <c r="N20" s="48" t="s">
        <v>34</v>
      </c>
      <c r="O20" s="35">
        <f>O6-59</f>
        <v>2716</v>
      </c>
      <c r="P20" s="35">
        <f t="shared" ref="P20:S20" si="25">P6-59</f>
        <v>2716</v>
      </c>
      <c r="Q20" s="35">
        <f t="shared" si="25"/>
        <v>2716</v>
      </c>
      <c r="R20" s="35">
        <f t="shared" si="25"/>
        <v>2716</v>
      </c>
      <c r="S20" s="35">
        <f t="shared" si="25"/>
        <v>2716</v>
      </c>
      <c r="T20" s="48" t="s">
        <v>34</v>
      </c>
      <c r="U20" s="35">
        <f>U6-59</f>
        <v>2716</v>
      </c>
      <c r="V20" s="35">
        <f t="shared" ref="V20:Y20" si="26">V6-59</f>
        <v>2716</v>
      </c>
      <c r="W20" s="35">
        <f t="shared" si="26"/>
        <v>2716</v>
      </c>
      <c r="X20" s="35">
        <f t="shared" si="26"/>
        <v>2716</v>
      </c>
      <c r="Y20" s="41">
        <f t="shared" si="26"/>
        <v>2716</v>
      </c>
      <c r="Z20" s="48"/>
      <c r="AA20" s="35"/>
      <c r="AB20" s="35"/>
      <c r="AC20" s="35"/>
      <c r="AD20" s="35"/>
      <c r="AE20" s="35"/>
      <c r="AF20" s="48"/>
      <c r="AG20" s="35"/>
      <c r="AH20" s="35"/>
      <c r="AI20" s="35"/>
      <c r="AJ20" s="35"/>
      <c r="AK20" s="41"/>
    </row>
    <row r="21" spans="1:37" s="25" customFormat="1" x14ac:dyDescent="0.25">
      <c r="A21" s="102" t="s">
        <v>15</v>
      </c>
      <c r="B21" s="48" t="s">
        <v>35</v>
      </c>
      <c r="C21" s="35">
        <f>C7-39</f>
        <v>2668.5</v>
      </c>
      <c r="D21" s="35">
        <f>D8-39</f>
        <v>1774.3333333333333</v>
      </c>
      <c r="E21" s="35">
        <f>E9-39</f>
        <v>1327.25</v>
      </c>
      <c r="F21" s="35">
        <f>F10-39</f>
        <v>1318.5</v>
      </c>
      <c r="G21" s="36">
        <f>G11-39</f>
        <v>1059</v>
      </c>
      <c r="H21" s="48" t="s">
        <v>35</v>
      </c>
      <c r="I21" s="35">
        <f>I7-39</f>
        <v>2673.5</v>
      </c>
      <c r="J21" s="35">
        <f>J8-39</f>
        <v>1777.6666666666667</v>
      </c>
      <c r="K21" s="35">
        <f>K9-39</f>
        <v>1329.75</v>
      </c>
      <c r="L21" s="35">
        <f>L10-39</f>
        <v>1323.5</v>
      </c>
      <c r="M21" s="36">
        <f>M11-39</f>
        <v>1061</v>
      </c>
      <c r="N21" s="48" t="s">
        <v>48</v>
      </c>
      <c r="O21" s="35">
        <f>O7-57</f>
        <v>2655.5</v>
      </c>
      <c r="P21" s="37">
        <f>P8-57</f>
        <v>1763</v>
      </c>
      <c r="Q21" s="35">
        <f>Q9-57</f>
        <v>1316.75</v>
      </c>
      <c r="R21" s="35">
        <f>R10-57</f>
        <v>1305.5</v>
      </c>
      <c r="S21" s="35">
        <f>S11-57</f>
        <v>1049</v>
      </c>
      <c r="T21" s="48" t="s">
        <v>48</v>
      </c>
      <c r="U21" s="35">
        <f>U7-57</f>
        <v>2660.5</v>
      </c>
      <c r="V21" s="37">
        <f>V8-57</f>
        <v>1766.3333333333333</v>
      </c>
      <c r="W21" s="35">
        <f>W9-57</f>
        <v>1319.25</v>
      </c>
      <c r="X21" s="35">
        <f>X10-57</f>
        <v>1310.5</v>
      </c>
      <c r="Y21" s="41">
        <f>Y11-57</f>
        <v>1051</v>
      </c>
      <c r="Z21" s="48" t="s">
        <v>56</v>
      </c>
      <c r="AA21" s="35">
        <f>AA7-64</f>
        <v>2651</v>
      </c>
      <c r="AB21" s="37">
        <f>AB8-64</f>
        <v>1759.3333333333333</v>
      </c>
      <c r="AC21" s="35">
        <f>AC9-64</f>
        <v>1313.5</v>
      </c>
      <c r="AD21" s="35">
        <f>AD10-64</f>
        <v>1301</v>
      </c>
      <c r="AE21" s="35">
        <f>AE11-64</f>
        <v>1046</v>
      </c>
      <c r="AF21" s="48" t="s">
        <v>56</v>
      </c>
      <c r="AG21" s="35">
        <f>AG7-64</f>
        <v>2656</v>
      </c>
      <c r="AH21" s="37">
        <f>AH8-64</f>
        <v>1762.6666666666667</v>
      </c>
      <c r="AI21" s="35">
        <f>AI9-64</f>
        <v>1316</v>
      </c>
      <c r="AJ21" s="35">
        <f>AJ10-64</f>
        <v>1306</v>
      </c>
      <c r="AK21" s="41">
        <f>AK11-64</f>
        <v>1048</v>
      </c>
    </row>
    <row r="22" spans="1:37" s="25" customFormat="1" ht="15.75" thickBot="1" x14ac:dyDescent="0.3">
      <c r="A22" s="103"/>
      <c r="B22" s="49" t="s">
        <v>36</v>
      </c>
      <c r="C22" s="38">
        <f>C6-60</f>
        <v>2715</v>
      </c>
      <c r="D22" s="38">
        <f t="shared" ref="D22:G22" si="27">D6-60</f>
        <v>2715</v>
      </c>
      <c r="E22" s="38">
        <f t="shared" si="27"/>
        <v>2715</v>
      </c>
      <c r="F22" s="38">
        <f t="shared" si="27"/>
        <v>2715</v>
      </c>
      <c r="G22" s="39">
        <f t="shared" si="27"/>
        <v>2715</v>
      </c>
      <c r="H22" s="49" t="s">
        <v>36</v>
      </c>
      <c r="I22" s="38">
        <f>I6-60</f>
        <v>2715</v>
      </c>
      <c r="J22" s="38">
        <f t="shared" ref="J22:M22" si="28">J6-60</f>
        <v>2715</v>
      </c>
      <c r="K22" s="38">
        <f t="shared" si="28"/>
        <v>2715</v>
      </c>
      <c r="L22" s="38">
        <f t="shared" si="28"/>
        <v>2715</v>
      </c>
      <c r="M22" s="39">
        <f t="shared" si="28"/>
        <v>2715</v>
      </c>
      <c r="N22" s="49" t="s">
        <v>36</v>
      </c>
      <c r="O22" s="38">
        <f>O6-60</f>
        <v>2715</v>
      </c>
      <c r="P22" s="38">
        <f t="shared" ref="P22:S22" si="29">P6-60</f>
        <v>2715</v>
      </c>
      <c r="Q22" s="38">
        <f t="shared" si="29"/>
        <v>2715</v>
      </c>
      <c r="R22" s="38">
        <f t="shared" si="29"/>
        <v>2715</v>
      </c>
      <c r="S22" s="38">
        <f t="shared" si="29"/>
        <v>2715</v>
      </c>
      <c r="T22" s="49" t="s">
        <v>36</v>
      </c>
      <c r="U22" s="38">
        <f>U6-60</f>
        <v>2715</v>
      </c>
      <c r="V22" s="38">
        <f t="shared" ref="V22:Y22" si="30">V6-60</f>
        <v>2715</v>
      </c>
      <c r="W22" s="38">
        <f t="shared" si="30"/>
        <v>2715</v>
      </c>
      <c r="X22" s="38">
        <f t="shared" si="30"/>
        <v>2715</v>
      </c>
      <c r="Y22" s="42">
        <f t="shared" si="30"/>
        <v>2715</v>
      </c>
      <c r="Z22" s="49" t="s">
        <v>36</v>
      </c>
      <c r="AA22" s="38">
        <f>AA6-60</f>
        <v>2715</v>
      </c>
      <c r="AB22" s="38">
        <f t="shared" ref="AB22:AE22" si="31">AB6-60</f>
        <v>2715</v>
      </c>
      <c r="AC22" s="38">
        <f t="shared" si="31"/>
        <v>2715</v>
      </c>
      <c r="AD22" s="38">
        <f t="shared" si="31"/>
        <v>2715</v>
      </c>
      <c r="AE22" s="38">
        <f t="shared" si="31"/>
        <v>2715</v>
      </c>
      <c r="AF22" s="49" t="s">
        <v>36</v>
      </c>
      <c r="AG22" s="38">
        <f>AG6-60</f>
        <v>2715</v>
      </c>
      <c r="AH22" s="38">
        <f t="shared" ref="AH22:AK22" si="32">AH6-60</f>
        <v>2715</v>
      </c>
      <c r="AI22" s="38">
        <f t="shared" si="32"/>
        <v>2715</v>
      </c>
      <c r="AJ22" s="38">
        <f t="shared" si="32"/>
        <v>2715</v>
      </c>
      <c r="AK22" s="42">
        <f t="shared" si="32"/>
        <v>2715</v>
      </c>
    </row>
    <row r="26" spans="1:37" x14ac:dyDescent="0.25">
      <c r="B26" s="55"/>
    </row>
    <row r="28" spans="1:37" x14ac:dyDescent="0.25">
      <c r="E28" s="56"/>
      <c r="F28" s="56"/>
    </row>
    <row r="29" spans="1:37" x14ac:dyDescent="0.25">
      <c r="B29" s="55"/>
    </row>
    <row r="30" spans="1:37" x14ac:dyDescent="0.25">
      <c r="B30" s="55"/>
      <c r="E30" s="55"/>
    </row>
  </sheetData>
  <mergeCells count="13">
    <mergeCell ref="A19:A20"/>
    <mergeCell ref="A21:A22"/>
    <mergeCell ref="A17:A18"/>
    <mergeCell ref="B4:G4"/>
    <mergeCell ref="B3:M3"/>
    <mergeCell ref="H4:M4"/>
    <mergeCell ref="A3:A5"/>
    <mergeCell ref="Z3:AK3"/>
    <mergeCell ref="Z4:AE4"/>
    <mergeCell ref="AF4:AK4"/>
    <mergeCell ref="N4:S4"/>
    <mergeCell ref="N3:Y3"/>
    <mergeCell ref="T4:Y4"/>
  </mergeCells>
  <pageMargins left="0.39370078740157483" right="0.39370078740157483" top="0.74803149606299213" bottom="0.74803149606299213" header="0.31496062992125984" footer="0.31496062992125984"/>
  <pageSetup paperSize="9" scale="97" orientation="landscape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O31"/>
  <sheetViews>
    <sheetView tabSelected="1" workbookViewId="0">
      <selection activeCell="S9" sqref="S9"/>
    </sheetView>
  </sheetViews>
  <sheetFormatPr defaultColWidth="8.85546875" defaultRowHeight="15" x14ac:dyDescent="0.25"/>
  <cols>
    <col min="1" max="1" width="43.85546875" bestFit="1" customWidth="1"/>
    <col min="2" max="2" width="14.85546875" bestFit="1" customWidth="1"/>
    <col min="3" max="5" width="5.42578125" bestFit="1" customWidth="1"/>
    <col min="6" max="6" width="7.28515625" bestFit="1" customWidth="1"/>
    <col min="7" max="7" width="5.42578125" bestFit="1" customWidth="1"/>
    <col min="8" max="8" width="15.85546875" bestFit="1" customWidth="1"/>
    <col min="9" max="10" width="5.42578125" bestFit="1" customWidth="1"/>
    <col min="11" max="11" width="6.140625" bestFit="1" customWidth="1"/>
    <col min="12" max="12" width="7.28515625" bestFit="1" customWidth="1"/>
    <col min="13" max="13" width="5.42578125" bestFit="1" customWidth="1"/>
    <col min="15" max="15" width="10.28515625" customWidth="1"/>
  </cols>
  <sheetData>
    <row r="1" spans="1:15" ht="15.75" x14ac:dyDescent="0.25">
      <c r="A1" s="8" t="s">
        <v>16</v>
      </c>
      <c r="B1" s="7">
        <v>2000</v>
      </c>
    </row>
    <row r="2" spans="1:15" ht="16.5" thickBot="1" x14ac:dyDescent="0.3">
      <c r="A2" s="14" t="s">
        <v>17</v>
      </c>
      <c r="B2" s="15">
        <v>1500</v>
      </c>
    </row>
    <row r="3" spans="1:15" ht="16.5" thickBot="1" x14ac:dyDescent="0.3">
      <c r="A3" s="109" t="s">
        <v>54</v>
      </c>
      <c r="B3" s="107" t="s">
        <v>121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2"/>
    </row>
    <row r="4" spans="1:15" x14ac:dyDescent="0.25">
      <c r="A4" s="110"/>
      <c r="B4" s="105" t="s">
        <v>0</v>
      </c>
      <c r="C4" s="106"/>
      <c r="D4" s="106"/>
      <c r="E4" s="106"/>
      <c r="F4" s="106"/>
      <c r="G4" s="106"/>
      <c r="H4" s="105" t="s">
        <v>1</v>
      </c>
      <c r="I4" s="106"/>
      <c r="J4" s="106"/>
      <c r="K4" s="106"/>
      <c r="L4" s="106"/>
      <c r="M4" s="113"/>
    </row>
    <row r="5" spans="1:15" x14ac:dyDescent="0.25">
      <c r="A5" s="111"/>
      <c r="B5" s="43" t="s">
        <v>18</v>
      </c>
      <c r="C5" s="50" t="s">
        <v>19</v>
      </c>
      <c r="D5" s="3" t="s">
        <v>20</v>
      </c>
      <c r="E5" s="3" t="s">
        <v>21</v>
      </c>
      <c r="F5" s="3" t="s">
        <v>21</v>
      </c>
      <c r="G5" s="6" t="s">
        <v>22</v>
      </c>
      <c r="H5" s="43" t="s">
        <v>18</v>
      </c>
      <c r="I5" s="3" t="s">
        <v>19</v>
      </c>
      <c r="J5" s="3" t="s">
        <v>20</v>
      </c>
      <c r="K5" s="3" t="s">
        <v>21</v>
      </c>
      <c r="L5" s="3" t="s">
        <v>21</v>
      </c>
      <c r="M5" s="10" t="s">
        <v>22</v>
      </c>
    </row>
    <row r="6" spans="1:15" ht="15.75" x14ac:dyDescent="0.25">
      <c r="A6" s="9" t="s">
        <v>2</v>
      </c>
      <c r="B6" s="67" t="s">
        <v>68</v>
      </c>
      <c r="C6" s="51">
        <f>$B$1-35</f>
        <v>1965</v>
      </c>
      <c r="D6" s="4">
        <f t="shared" ref="D6:G6" si="0">$B$1-35</f>
        <v>1965</v>
      </c>
      <c r="E6" s="4">
        <f t="shared" si="0"/>
        <v>1965</v>
      </c>
      <c r="F6" s="4">
        <f t="shared" si="0"/>
        <v>1965</v>
      </c>
      <c r="G6" s="13">
        <f t="shared" si="0"/>
        <v>1965</v>
      </c>
      <c r="H6" s="67" t="s">
        <v>68</v>
      </c>
      <c r="I6" s="4">
        <f t="shared" ref="I6:M6" si="1">$B$1-35</f>
        <v>1965</v>
      </c>
      <c r="J6" s="4">
        <f t="shared" si="1"/>
        <v>1965</v>
      </c>
      <c r="K6" s="4">
        <f t="shared" si="1"/>
        <v>1965</v>
      </c>
      <c r="L6" s="4">
        <f t="shared" si="1"/>
        <v>1965</v>
      </c>
      <c r="M6" s="11">
        <f t="shared" si="1"/>
        <v>1965</v>
      </c>
    </row>
    <row r="7" spans="1:15" ht="15.75" x14ac:dyDescent="0.25">
      <c r="A7" s="5" t="s">
        <v>3</v>
      </c>
      <c r="B7" s="44" t="s">
        <v>24</v>
      </c>
      <c r="C7" s="51">
        <f>(B2+15)/2</f>
        <v>757.5</v>
      </c>
      <c r="D7" s="1"/>
      <c r="E7" s="1"/>
      <c r="F7" s="1"/>
      <c r="G7" s="5"/>
      <c r="H7" s="44" t="s">
        <v>37</v>
      </c>
      <c r="I7" s="4">
        <f>($B2+25)/2</f>
        <v>762.5</v>
      </c>
      <c r="J7" s="4"/>
      <c r="K7" s="1"/>
      <c r="L7" s="1"/>
      <c r="M7" s="12"/>
    </row>
    <row r="8" spans="1:15" ht="15.75" x14ac:dyDescent="0.25">
      <c r="A8" s="5" t="s">
        <v>4</v>
      </c>
      <c r="B8" s="44" t="s">
        <v>25</v>
      </c>
      <c r="C8" s="52"/>
      <c r="D8" s="4">
        <f>($B2+40)/3</f>
        <v>513.33333333333337</v>
      </c>
      <c r="E8" s="1"/>
      <c r="F8" s="1"/>
      <c r="G8" s="5"/>
      <c r="H8" s="44" t="s">
        <v>38</v>
      </c>
      <c r="I8" s="1"/>
      <c r="J8" s="61">
        <f>($B2+50)/3</f>
        <v>516.66666666666663</v>
      </c>
      <c r="K8" s="1"/>
      <c r="L8" s="1"/>
      <c r="M8" s="12"/>
    </row>
    <row r="9" spans="1:15" ht="15.75" x14ac:dyDescent="0.25">
      <c r="A9" s="5" t="s">
        <v>5</v>
      </c>
      <c r="B9" s="44" t="s">
        <v>26</v>
      </c>
      <c r="C9" s="52"/>
      <c r="D9" s="1"/>
      <c r="E9" s="4">
        <f>($B2+65)/4</f>
        <v>391.25</v>
      </c>
      <c r="F9" s="1"/>
      <c r="G9" s="5"/>
      <c r="H9" s="44" t="s">
        <v>39</v>
      </c>
      <c r="I9" s="1"/>
      <c r="J9" s="1"/>
      <c r="K9" s="4">
        <f>($B2+75)/4</f>
        <v>393.75</v>
      </c>
      <c r="L9" s="1"/>
      <c r="M9" s="12"/>
    </row>
    <row r="10" spans="1:15" ht="15.75" x14ac:dyDescent="0.25">
      <c r="A10" s="5" t="s">
        <v>6</v>
      </c>
      <c r="B10" s="44" t="s">
        <v>27</v>
      </c>
      <c r="C10" s="52"/>
      <c r="D10" s="1"/>
      <c r="E10" s="1"/>
      <c r="F10" s="4">
        <f>($B2+30)/4</f>
        <v>382.5</v>
      </c>
      <c r="G10" s="5"/>
      <c r="H10" s="44" t="s">
        <v>40</v>
      </c>
      <c r="I10" s="1"/>
      <c r="J10" s="1"/>
      <c r="K10" s="1"/>
      <c r="L10" s="4">
        <f>($B2+50)/4</f>
        <v>387.5</v>
      </c>
      <c r="M10" s="12"/>
    </row>
    <row r="11" spans="1:15" ht="15.75" x14ac:dyDescent="0.25">
      <c r="A11" s="5" t="s">
        <v>7</v>
      </c>
      <c r="B11" s="44" t="s">
        <v>28</v>
      </c>
      <c r="C11" s="52"/>
      <c r="D11" s="1"/>
      <c r="E11" s="1"/>
      <c r="F11" s="1"/>
      <c r="G11" s="13">
        <f>($B2+90)/5</f>
        <v>318</v>
      </c>
      <c r="H11" s="44" t="s">
        <v>41</v>
      </c>
      <c r="I11" s="1"/>
      <c r="J11" s="1"/>
      <c r="K11" s="1"/>
      <c r="L11" s="1"/>
      <c r="M11" s="11">
        <f>($B2+100)/5</f>
        <v>320</v>
      </c>
    </row>
    <row r="12" spans="1:15" x14ac:dyDescent="0.25">
      <c r="A12" s="5" t="s">
        <v>8</v>
      </c>
      <c r="B12" s="44" t="s">
        <v>29</v>
      </c>
      <c r="C12" s="52">
        <f>$C7-52</f>
        <v>705.5</v>
      </c>
      <c r="D12" s="1">
        <f>D8-52</f>
        <v>461.33333333333337</v>
      </c>
      <c r="E12" s="1">
        <f>E9-52</f>
        <v>339.25</v>
      </c>
      <c r="F12" s="1">
        <f>F10-52</f>
        <v>330.5</v>
      </c>
      <c r="G12" s="5">
        <f>G11-52</f>
        <v>266</v>
      </c>
      <c r="H12" s="44" t="s">
        <v>29</v>
      </c>
      <c r="I12" s="1">
        <f>$I7-52</f>
        <v>710.5</v>
      </c>
      <c r="J12" s="62">
        <f>J8-52</f>
        <v>464.66666666666663</v>
      </c>
      <c r="K12" s="1">
        <f>K9-52</f>
        <v>341.75</v>
      </c>
      <c r="L12" s="1">
        <f>L10-52</f>
        <v>335.5</v>
      </c>
      <c r="M12" s="12">
        <f>M11-52</f>
        <v>268</v>
      </c>
    </row>
    <row r="13" spans="1:15" x14ac:dyDescent="0.25">
      <c r="A13" s="5" t="s">
        <v>9</v>
      </c>
      <c r="B13" s="44" t="s">
        <v>29</v>
      </c>
      <c r="C13" s="52">
        <f>C7-52</f>
        <v>705.5</v>
      </c>
      <c r="D13" s="1">
        <f>D8-52</f>
        <v>461.33333333333337</v>
      </c>
      <c r="E13" s="1">
        <f>E9-52</f>
        <v>339.25</v>
      </c>
      <c r="F13" s="1">
        <f>F10-52</f>
        <v>330.5</v>
      </c>
      <c r="G13" s="5">
        <f>G11-52</f>
        <v>266</v>
      </c>
      <c r="H13" s="44" t="s">
        <v>29</v>
      </c>
      <c r="I13" s="1">
        <f>I7-52</f>
        <v>710.5</v>
      </c>
      <c r="J13" s="62">
        <f>J8-52</f>
        <v>464.66666666666663</v>
      </c>
      <c r="K13" s="1">
        <f>K9-52</f>
        <v>341.75</v>
      </c>
      <c r="L13" s="1">
        <f>L10-52</f>
        <v>335.5</v>
      </c>
      <c r="M13" s="12">
        <f>M11-52</f>
        <v>268</v>
      </c>
    </row>
    <row r="14" spans="1:15" x14ac:dyDescent="0.25">
      <c r="A14" s="5" t="s">
        <v>10</v>
      </c>
      <c r="B14" s="44" t="s">
        <v>29</v>
      </c>
      <c r="C14" s="52">
        <f>C7-52</f>
        <v>705.5</v>
      </c>
      <c r="D14" s="1">
        <f>D8-52</f>
        <v>461.33333333333337</v>
      </c>
      <c r="E14" s="1">
        <f>E9-52</f>
        <v>339.25</v>
      </c>
      <c r="F14" s="1">
        <f>F10-52</f>
        <v>330.5</v>
      </c>
      <c r="G14" s="5">
        <f>G11-52</f>
        <v>266</v>
      </c>
      <c r="H14" s="44" t="s">
        <v>29</v>
      </c>
      <c r="I14" s="1">
        <f>I7-52</f>
        <v>710.5</v>
      </c>
      <c r="J14" s="62">
        <f>J8-52</f>
        <v>464.66666666666663</v>
      </c>
      <c r="K14" s="1">
        <f>K9-52</f>
        <v>341.75</v>
      </c>
      <c r="L14" s="1">
        <f>L10-52</f>
        <v>335.5</v>
      </c>
      <c r="M14" s="12">
        <f>M11-52</f>
        <v>268</v>
      </c>
    </row>
    <row r="15" spans="1:15" s="25" customFormat="1" x14ac:dyDescent="0.25">
      <c r="A15" s="21" t="s">
        <v>11</v>
      </c>
      <c r="B15" s="45" t="s">
        <v>30</v>
      </c>
      <c r="C15" s="53">
        <f>$B2</f>
        <v>1500</v>
      </c>
      <c r="D15" s="22">
        <f t="shared" ref="D15:G15" si="2">$B2</f>
        <v>1500</v>
      </c>
      <c r="E15" s="22">
        <f t="shared" si="2"/>
        <v>1500</v>
      </c>
      <c r="F15" s="22">
        <f t="shared" si="2"/>
        <v>1500</v>
      </c>
      <c r="G15" s="23">
        <f t="shared" si="2"/>
        <v>1500</v>
      </c>
      <c r="H15" s="45" t="s">
        <v>30</v>
      </c>
      <c r="I15" s="22">
        <f>$B2</f>
        <v>1500</v>
      </c>
      <c r="J15" s="63">
        <f t="shared" ref="J15:M15" si="3">$B2</f>
        <v>1500</v>
      </c>
      <c r="K15" s="22">
        <f t="shared" si="3"/>
        <v>1500</v>
      </c>
      <c r="L15" s="22">
        <f t="shared" si="3"/>
        <v>1500</v>
      </c>
      <c r="M15" s="24">
        <f t="shared" si="3"/>
        <v>1500</v>
      </c>
      <c r="O15"/>
    </row>
    <row r="16" spans="1:15" s="25" customFormat="1" ht="15.75" thickBot="1" x14ac:dyDescent="0.3">
      <c r="A16" s="26" t="s">
        <v>12</v>
      </c>
      <c r="B16" s="46" t="s">
        <v>30</v>
      </c>
      <c r="C16" s="54">
        <f>$B2</f>
        <v>1500</v>
      </c>
      <c r="D16" s="27">
        <f t="shared" ref="D16:G16" si="4">$B2</f>
        <v>1500</v>
      </c>
      <c r="E16" s="27">
        <f t="shared" si="4"/>
        <v>1500</v>
      </c>
      <c r="F16" s="27">
        <f t="shared" si="4"/>
        <v>1500</v>
      </c>
      <c r="G16" s="28">
        <f t="shared" si="4"/>
        <v>1500</v>
      </c>
      <c r="H16" s="46" t="s">
        <v>30</v>
      </c>
      <c r="I16" s="27">
        <f>$B2</f>
        <v>1500</v>
      </c>
      <c r="J16" s="27">
        <f t="shared" ref="J16:M16" si="5">$B2</f>
        <v>1500</v>
      </c>
      <c r="K16" s="27">
        <f t="shared" si="5"/>
        <v>1500</v>
      </c>
      <c r="L16" s="27">
        <f t="shared" si="5"/>
        <v>1500</v>
      </c>
      <c r="M16" s="29">
        <f t="shared" si="5"/>
        <v>1500</v>
      </c>
      <c r="O16"/>
    </row>
    <row r="17" spans="1:15" s="25" customFormat="1" x14ac:dyDescent="0.25">
      <c r="A17" s="104" t="s">
        <v>13</v>
      </c>
      <c r="B17" s="47" t="s">
        <v>31</v>
      </c>
      <c r="C17" s="30">
        <f>C7-36</f>
        <v>721.5</v>
      </c>
      <c r="D17" s="30">
        <f>D8-36</f>
        <v>477.33333333333337</v>
      </c>
      <c r="E17" s="30">
        <f>E9-36</f>
        <v>355.25</v>
      </c>
      <c r="F17" s="30">
        <f>F10-36</f>
        <v>346.5</v>
      </c>
      <c r="G17" s="59">
        <f>G11-36</f>
        <v>282</v>
      </c>
      <c r="H17" s="47" t="s">
        <v>31</v>
      </c>
      <c r="I17" s="30">
        <f>I7-36</f>
        <v>726.5</v>
      </c>
      <c r="J17" s="64">
        <f>J8-36</f>
        <v>480.66666666666663</v>
      </c>
      <c r="K17" s="30">
        <f>K9-36</f>
        <v>357.75</v>
      </c>
      <c r="L17" s="30">
        <f>L10-36</f>
        <v>351.5</v>
      </c>
      <c r="M17" s="60">
        <f>M11-36</f>
        <v>284</v>
      </c>
      <c r="O17"/>
    </row>
    <row r="18" spans="1:15" s="25" customFormat="1" x14ac:dyDescent="0.25">
      <c r="A18" s="102"/>
      <c r="B18" s="66" t="s">
        <v>67</v>
      </c>
      <c r="C18" s="35">
        <f>C6-59</f>
        <v>1906</v>
      </c>
      <c r="D18" s="35">
        <f t="shared" ref="D18:G18" si="6">D6-59</f>
        <v>1906</v>
      </c>
      <c r="E18" s="35">
        <f t="shared" si="6"/>
        <v>1906</v>
      </c>
      <c r="F18" s="35">
        <f t="shared" si="6"/>
        <v>1906</v>
      </c>
      <c r="G18" s="57">
        <f t="shared" si="6"/>
        <v>1906</v>
      </c>
      <c r="H18" s="66" t="s">
        <v>67</v>
      </c>
      <c r="I18" s="35">
        <f>I6-59</f>
        <v>1906</v>
      </c>
      <c r="J18" s="35">
        <f t="shared" ref="J18:M18" si="7">J6-59</f>
        <v>1906</v>
      </c>
      <c r="K18" s="35">
        <f t="shared" si="7"/>
        <v>1906</v>
      </c>
      <c r="L18" s="35">
        <f t="shared" si="7"/>
        <v>1906</v>
      </c>
      <c r="M18" s="41">
        <f t="shared" si="7"/>
        <v>1906</v>
      </c>
      <c r="O18"/>
    </row>
    <row r="19" spans="1:15" s="25" customFormat="1" x14ac:dyDescent="0.25">
      <c r="A19" s="102" t="s">
        <v>14</v>
      </c>
      <c r="B19" s="48" t="s">
        <v>33</v>
      </c>
      <c r="C19" s="35">
        <f>C7-38</f>
        <v>719.5</v>
      </c>
      <c r="D19" s="35">
        <f>D8-38</f>
        <v>475.33333333333337</v>
      </c>
      <c r="E19" s="35">
        <f>E9-38</f>
        <v>353.25</v>
      </c>
      <c r="F19" s="35">
        <f>F10-38</f>
        <v>344.5</v>
      </c>
      <c r="G19" s="57">
        <f>G11-38</f>
        <v>280</v>
      </c>
      <c r="H19" s="48" t="s">
        <v>33</v>
      </c>
      <c r="I19" s="35">
        <f>I7-38</f>
        <v>724.5</v>
      </c>
      <c r="J19" s="65">
        <f>J8-38</f>
        <v>478.66666666666663</v>
      </c>
      <c r="K19" s="35">
        <f>K9-38</f>
        <v>355.75</v>
      </c>
      <c r="L19" s="35">
        <f>L10-38</f>
        <v>349.5</v>
      </c>
      <c r="M19" s="41">
        <f>M11-38</f>
        <v>282</v>
      </c>
      <c r="O19"/>
    </row>
    <row r="20" spans="1:15" s="25" customFormat="1" x14ac:dyDescent="0.25">
      <c r="A20" s="102"/>
      <c r="B20" s="66" t="s">
        <v>69</v>
      </c>
      <c r="C20" s="35">
        <f>C6-61</f>
        <v>1904</v>
      </c>
      <c r="D20" s="35">
        <f t="shared" ref="D20:G20" si="8">D6-61</f>
        <v>1904</v>
      </c>
      <c r="E20" s="35">
        <f t="shared" si="8"/>
        <v>1904</v>
      </c>
      <c r="F20" s="35">
        <f t="shared" si="8"/>
        <v>1904</v>
      </c>
      <c r="G20" s="57">
        <f t="shared" si="8"/>
        <v>1904</v>
      </c>
      <c r="H20" s="66" t="s">
        <v>69</v>
      </c>
      <c r="I20" s="35">
        <f t="shared" ref="I20:M20" si="9">I6-61</f>
        <v>1904</v>
      </c>
      <c r="J20" s="35">
        <f t="shared" si="9"/>
        <v>1904</v>
      </c>
      <c r="K20" s="35">
        <f t="shared" si="9"/>
        <v>1904</v>
      </c>
      <c r="L20" s="35">
        <f t="shared" si="9"/>
        <v>1904</v>
      </c>
      <c r="M20" s="41">
        <f t="shared" si="9"/>
        <v>1904</v>
      </c>
      <c r="O20"/>
    </row>
    <row r="21" spans="1:15" s="25" customFormat="1" x14ac:dyDescent="0.25">
      <c r="A21" s="102" t="s">
        <v>15</v>
      </c>
      <c r="B21" s="48" t="s">
        <v>35</v>
      </c>
      <c r="C21" s="35">
        <f>C7-39</f>
        <v>718.5</v>
      </c>
      <c r="D21" s="35">
        <f>D8-39</f>
        <v>474.33333333333337</v>
      </c>
      <c r="E21" s="35">
        <f>E9-39</f>
        <v>352.25</v>
      </c>
      <c r="F21" s="35">
        <f>F10-39</f>
        <v>343.5</v>
      </c>
      <c r="G21" s="57">
        <f>G11-39</f>
        <v>279</v>
      </c>
      <c r="H21" s="48" t="s">
        <v>35</v>
      </c>
      <c r="I21" s="35">
        <f>I7-39</f>
        <v>723.5</v>
      </c>
      <c r="J21" s="65">
        <f>J8-39</f>
        <v>477.66666666666663</v>
      </c>
      <c r="K21" s="35">
        <f>K9-39</f>
        <v>354.75</v>
      </c>
      <c r="L21" s="35">
        <f>L10-39</f>
        <v>348.5</v>
      </c>
      <c r="M21" s="41">
        <f>M11-39</f>
        <v>281</v>
      </c>
      <c r="O21"/>
    </row>
    <row r="22" spans="1:15" s="25" customFormat="1" ht="15.75" thickBot="1" x14ac:dyDescent="0.3">
      <c r="A22" s="103"/>
      <c r="B22" s="68" t="s">
        <v>70</v>
      </c>
      <c r="C22" s="38">
        <f>C6-62</f>
        <v>1903</v>
      </c>
      <c r="D22" s="38">
        <f t="shared" ref="D22:G22" si="10">D6-62</f>
        <v>1903</v>
      </c>
      <c r="E22" s="38">
        <f t="shared" si="10"/>
        <v>1903</v>
      </c>
      <c r="F22" s="38">
        <f t="shared" si="10"/>
        <v>1903</v>
      </c>
      <c r="G22" s="58">
        <f t="shared" si="10"/>
        <v>1903</v>
      </c>
      <c r="H22" s="68" t="s">
        <v>70</v>
      </c>
      <c r="I22" s="38">
        <f t="shared" ref="I22:M22" si="11">I6-62</f>
        <v>1903</v>
      </c>
      <c r="J22" s="38">
        <f t="shared" si="11"/>
        <v>1903</v>
      </c>
      <c r="K22" s="38">
        <f t="shared" si="11"/>
        <v>1903</v>
      </c>
      <c r="L22" s="38">
        <f t="shared" si="11"/>
        <v>1903</v>
      </c>
      <c r="M22" s="42">
        <f t="shared" si="11"/>
        <v>1903</v>
      </c>
      <c r="O22"/>
    </row>
    <row r="23" spans="1:15" ht="5.25" customHeight="1" x14ac:dyDescent="0.25"/>
    <row r="24" spans="1:15" ht="17.100000000000001" customHeight="1" x14ac:dyDescent="0.25">
      <c r="A24" s="114" t="s">
        <v>73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5" ht="17.100000000000001" customHeight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5" ht="5.25" customHeight="1" x14ac:dyDescent="0.25"/>
    <row r="27" spans="1:15" x14ac:dyDescent="0.25">
      <c r="A27" s="115" t="s">
        <v>72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5" x14ac:dyDescent="0.25">
      <c r="A28" s="116" t="s">
        <v>71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31" spans="1:15" x14ac:dyDescent="0.25">
      <c r="B31" s="55"/>
      <c r="E31" s="55"/>
    </row>
  </sheetData>
  <mergeCells count="10">
    <mergeCell ref="A27:M27"/>
    <mergeCell ref="A28:M28"/>
    <mergeCell ref="A17:A18"/>
    <mergeCell ref="A19:A20"/>
    <mergeCell ref="A21:A22"/>
    <mergeCell ref="A3:A5"/>
    <mergeCell ref="B3:M3"/>
    <mergeCell ref="B4:G4"/>
    <mergeCell ref="H4:M4"/>
    <mergeCell ref="A24:M25"/>
  </mergeCells>
  <pageMargins left="0.39370078740157483" right="0.39370078740157483" top="0.74803149606299213" bottom="0.74803149606299213" header="0.31496062992125984" footer="0.31496062992125984"/>
  <pageSetup paperSize="9" scale="9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ColWidth="8.85546875" defaultRowHeight="15" x14ac:dyDescent="0.25"/>
  <cols>
    <col min="1" max="1" width="30.42578125" style="69" bestFit="1" customWidth="1"/>
    <col min="2" max="2" width="31.42578125" style="69" bestFit="1" customWidth="1"/>
    <col min="3" max="3" width="32.7109375" style="69" bestFit="1" customWidth="1"/>
  </cols>
  <sheetData>
    <row r="1" spans="1:3" ht="32.25" customHeight="1" x14ac:dyDescent="0.25">
      <c r="A1" s="117" t="s">
        <v>86</v>
      </c>
      <c r="B1" s="118"/>
      <c r="C1" s="119"/>
    </row>
    <row r="2" spans="1:3" ht="15.75" x14ac:dyDescent="0.25">
      <c r="A2" s="70" t="s">
        <v>74</v>
      </c>
      <c r="B2" s="70" t="s">
        <v>75</v>
      </c>
      <c r="C2" s="70" t="s">
        <v>76</v>
      </c>
    </row>
    <row r="3" spans="1:3" ht="15.75" x14ac:dyDescent="0.25">
      <c r="A3" s="71" t="s">
        <v>77</v>
      </c>
      <c r="B3" s="71" t="s">
        <v>78</v>
      </c>
      <c r="C3" s="71" t="s">
        <v>79</v>
      </c>
    </row>
    <row r="4" spans="1:3" ht="31.5" x14ac:dyDescent="0.25">
      <c r="A4" s="70" t="s">
        <v>80</v>
      </c>
      <c r="B4" s="70" t="s">
        <v>81</v>
      </c>
      <c r="C4" s="70" t="s">
        <v>82</v>
      </c>
    </row>
    <row r="5" spans="1:3" ht="15.75" x14ac:dyDescent="0.25">
      <c r="A5" s="71" t="s">
        <v>83</v>
      </c>
      <c r="B5" s="71" t="s">
        <v>84</v>
      </c>
      <c r="C5" s="71" t="s">
        <v>85</v>
      </c>
    </row>
    <row r="7" spans="1:3" x14ac:dyDescent="0.25">
      <c r="A7"/>
    </row>
  </sheetData>
  <mergeCells count="1">
    <mergeCell ref="A1:C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18"/>
  <sheetViews>
    <sheetView workbookViewId="0">
      <selection activeCell="B4" sqref="B4"/>
    </sheetView>
  </sheetViews>
  <sheetFormatPr defaultColWidth="8.85546875" defaultRowHeight="15" x14ac:dyDescent="0.25"/>
  <cols>
    <col min="1" max="1" width="26.42578125" style="25" bestFit="1" customWidth="1"/>
    <col min="2" max="2" width="12.28515625" style="25" bestFit="1" customWidth="1"/>
    <col min="3" max="3" width="12.140625" style="25" bestFit="1" customWidth="1"/>
    <col min="4" max="4" width="7.7109375" style="25" bestFit="1" customWidth="1"/>
    <col min="5" max="5" width="8.85546875" style="25" bestFit="1" customWidth="1"/>
    <col min="6" max="6" width="9.42578125" style="25" customWidth="1"/>
    <col min="7" max="7" width="8.85546875" style="25" bestFit="1" customWidth="1"/>
    <col min="8" max="8" width="8.28515625" style="25" bestFit="1" customWidth="1"/>
    <col min="9" max="9" width="8.85546875" style="25" bestFit="1" customWidth="1"/>
    <col min="10" max="10" width="7" style="25" bestFit="1" customWidth="1"/>
    <col min="11" max="11" width="9" style="25" bestFit="1" customWidth="1"/>
    <col min="12" max="16384" width="8.85546875" style="25"/>
  </cols>
  <sheetData>
    <row r="1" spans="1:8" ht="19.5" thickBot="1" x14ac:dyDescent="0.3">
      <c r="A1" s="127" t="s">
        <v>116</v>
      </c>
      <c r="B1" s="128"/>
      <c r="C1" s="128"/>
      <c r="D1" s="128"/>
      <c r="E1" s="128"/>
      <c r="F1" s="128"/>
      <c r="G1" s="128"/>
      <c r="H1" s="129"/>
    </row>
    <row r="2" spans="1:8" ht="15" customHeight="1" thickBot="1" x14ac:dyDescent="0.3">
      <c r="A2" s="125" t="s">
        <v>117</v>
      </c>
      <c r="B2" s="130" t="s">
        <v>93</v>
      </c>
      <c r="C2" s="131"/>
      <c r="D2" s="120" t="s">
        <v>88</v>
      </c>
      <c r="E2" s="122"/>
      <c r="F2" s="120" t="s">
        <v>113</v>
      </c>
      <c r="G2" s="121"/>
      <c r="H2" s="122"/>
    </row>
    <row r="3" spans="1:8" x14ac:dyDescent="0.25">
      <c r="A3" s="125"/>
      <c r="B3" s="88" t="s">
        <v>94</v>
      </c>
      <c r="C3" s="89" t="s">
        <v>95</v>
      </c>
      <c r="D3" s="79" t="s">
        <v>98</v>
      </c>
      <c r="E3" s="90" t="s">
        <v>99</v>
      </c>
      <c r="F3" s="79" t="s">
        <v>114</v>
      </c>
      <c r="G3" s="92" t="s">
        <v>101</v>
      </c>
      <c r="H3" s="93" t="s">
        <v>102</v>
      </c>
    </row>
    <row r="4" spans="1:8" ht="19.5" thickBot="1" x14ac:dyDescent="0.3">
      <c r="A4" s="125"/>
      <c r="B4" s="82">
        <v>2815</v>
      </c>
      <c r="C4" s="83">
        <v>5350</v>
      </c>
      <c r="D4" s="84" t="s">
        <v>91</v>
      </c>
      <c r="E4" s="91">
        <f>IF(D4="C",25,35)</f>
        <v>25</v>
      </c>
      <c r="F4" s="85">
        <v>10</v>
      </c>
      <c r="G4" s="94">
        <f>IF(F4=10,57,IF(F4=8,59,60))</f>
        <v>57</v>
      </c>
      <c r="H4" s="95">
        <f>MAX(H6:H11)</f>
        <v>36</v>
      </c>
    </row>
    <row r="5" spans="1:8" ht="15.75" thickBot="1" x14ac:dyDescent="0.3">
      <c r="A5" s="125"/>
      <c r="B5" s="130" t="s">
        <v>96</v>
      </c>
      <c r="C5" s="131"/>
      <c r="D5" s="130" t="s">
        <v>87</v>
      </c>
      <c r="E5" s="131"/>
      <c r="H5" s="72" t="s">
        <v>111</v>
      </c>
    </row>
    <row r="6" spans="1:8" x14ac:dyDescent="0.25">
      <c r="A6" s="125"/>
      <c r="B6" s="88" t="s">
        <v>97</v>
      </c>
      <c r="C6" s="89" t="s">
        <v>112</v>
      </c>
      <c r="D6" s="79" t="s">
        <v>100</v>
      </c>
      <c r="E6" s="90" t="s">
        <v>99</v>
      </c>
      <c r="H6" s="78">
        <f>IF(AND($D$4="C",$F$4=10),36,0)</f>
        <v>36</v>
      </c>
    </row>
    <row r="7" spans="1:8" ht="19.5" thickBot="1" x14ac:dyDescent="0.3">
      <c r="A7" s="126"/>
      <c r="B7" s="86">
        <v>4</v>
      </c>
      <c r="C7" s="77">
        <f>B7-1</f>
        <v>3</v>
      </c>
      <c r="D7" s="87">
        <v>1</v>
      </c>
      <c r="E7" s="91">
        <f>IF(D7=1,10,0)</f>
        <v>10</v>
      </c>
      <c r="H7" s="78">
        <f>IF(AND($D$4="C",$F$4=8),38,0)</f>
        <v>0</v>
      </c>
    </row>
    <row r="8" spans="1:8" ht="6" customHeight="1" thickBot="1" x14ac:dyDescent="0.3">
      <c r="H8" s="78">
        <f>IF(AND($D$4="C",$F$4=4),39,0)</f>
        <v>0</v>
      </c>
    </row>
    <row r="9" spans="1:8" ht="15.75" x14ac:dyDescent="0.25">
      <c r="A9" s="123" t="s">
        <v>115</v>
      </c>
      <c r="B9" s="124"/>
      <c r="H9" s="78">
        <f>IF(AND($D$4="H",$F$4=10),54,0)</f>
        <v>0</v>
      </c>
    </row>
    <row r="10" spans="1:8" x14ac:dyDescent="0.25">
      <c r="A10" s="73" t="s">
        <v>110</v>
      </c>
      <c r="B10" s="74" t="s">
        <v>109</v>
      </c>
      <c r="H10" s="78">
        <f>IF(AND($D$4="H",$F$4=8),56,0)</f>
        <v>0</v>
      </c>
    </row>
    <row r="11" spans="1:8" ht="18.75" x14ac:dyDescent="0.25">
      <c r="A11" s="75" t="s">
        <v>89</v>
      </c>
      <c r="B11" s="80">
        <f>B4-40</f>
        <v>2775</v>
      </c>
      <c r="E11"/>
      <c r="H11" s="78">
        <f>IF(AND($D$4="H",$F$4=4),57,0)</f>
        <v>0</v>
      </c>
    </row>
    <row r="12" spans="1:8" ht="18.75" x14ac:dyDescent="0.25">
      <c r="A12" s="75" t="s">
        <v>90</v>
      </c>
      <c r="B12" s="80">
        <f>(C4+(E4*C7-E7))/B7</f>
        <v>1353.75</v>
      </c>
    </row>
    <row r="13" spans="1:8" ht="18.75" x14ac:dyDescent="0.25">
      <c r="A13" s="75" t="s">
        <v>103</v>
      </c>
      <c r="B13" s="80">
        <f>C4</f>
        <v>5350</v>
      </c>
    </row>
    <row r="14" spans="1:8" ht="18.75" x14ac:dyDescent="0.25">
      <c r="A14" s="75" t="s">
        <v>104</v>
      </c>
      <c r="B14" s="80">
        <f>B13</f>
        <v>5350</v>
      </c>
    </row>
    <row r="15" spans="1:8" ht="18.75" x14ac:dyDescent="0.25">
      <c r="A15" s="75" t="s">
        <v>105</v>
      </c>
      <c r="B15" s="80">
        <f>IF(D4="C",$B$12-52,$B$12-70)</f>
        <v>1301.75</v>
      </c>
    </row>
    <row r="16" spans="1:8" ht="18.75" x14ac:dyDescent="0.25">
      <c r="A16" s="75" t="s">
        <v>106</v>
      </c>
      <c r="B16" s="80">
        <f>B15</f>
        <v>1301.75</v>
      </c>
    </row>
    <row r="17" spans="1:2" ht="18.75" x14ac:dyDescent="0.25">
      <c r="A17" s="75" t="s">
        <v>107</v>
      </c>
      <c r="B17" s="80">
        <f>B11-G4</f>
        <v>2718</v>
      </c>
    </row>
    <row r="18" spans="1:2" ht="19.5" thickBot="1" x14ac:dyDescent="0.3">
      <c r="A18" s="76" t="s">
        <v>108</v>
      </c>
      <c r="B18" s="81">
        <f>B12-H4</f>
        <v>1317.75</v>
      </c>
    </row>
  </sheetData>
  <mergeCells count="8">
    <mergeCell ref="F2:H2"/>
    <mergeCell ref="A9:B9"/>
    <mergeCell ref="A2:A7"/>
    <mergeCell ref="A1:H1"/>
    <mergeCell ref="B2:C2"/>
    <mergeCell ref="B5:C5"/>
    <mergeCell ref="D2:E2"/>
    <mergeCell ref="D5:E5"/>
  </mergeCells>
  <conditionalFormatting sqref="D7">
    <cfRule type="iconSet" priority="1">
      <iconSet iconSet="3Symbols2" showValue="0">
        <cfvo type="percent" val="0"/>
        <cfvo type="num" val="0" gte="0"/>
        <cfvo type="num" val="1"/>
      </iconSet>
    </cfRule>
  </conditionalFormatting>
  <dataValidations count="2">
    <dataValidation type="list" allowBlank="1" showInputMessage="1" showErrorMessage="1" sqref="D4">
      <formula1>ручка</formula1>
    </dataValidation>
    <dataValidation type="list" allowBlank="1" showInputMessage="1" showErrorMessage="1" sqref="F4">
      <formula1>наполнение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ColWidth="8.85546875" defaultRowHeight="15" x14ac:dyDescent="0.25"/>
  <sheetData>
    <row r="1" spans="1:2" x14ac:dyDescent="0.25">
      <c r="A1" t="s">
        <v>91</v>
      </c>
      <c r="B1">
        <v>4</v>
      </c>
    </row>
    <row r="2" spans="1:2" x14ac:dyDescent="0.25">
      <c r="A2" t="s">
        <v>92</v>
      </c>
      <c r="B2">
        <v>8</v>
      </c>
    </row>
    <row r="3" spans="1:2" x14ac:dyDescent="0.25">
      <c r="B3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Раздвижные двери</vt:lpstr>
      <vt:lpstr>Эконом</vt:lpstr>
      <vt:lpstr>Средняя рамка</vt:lpstr>
      <vt:lpstr>Микс Основная система</vt:lpstr>
      <vt:lpstr>списки</vt:lpstr>
      <vt:lpstr>наполнение</vt:lpstr>
      <vt:lpstr>ручка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</cp:lastModifiedBy>
  <cp:lastPrinted>2010-08-20T08:28:59Z</cp:lastPrinted>
  <dcterms:created xsi:type="dcterms:W3CDTF">2010-04-28T11:32:42Z</dcterms:created>
  <dcterms:modified xsi:type="dcterms:W3CDTF">2017-01-13T06:38:52Z</dcterms:modified>
</cp:coreProperties>
</file>